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updateLinks="never"/>
  <mc:AlternateContent xmlns:mc="http://schemas.openxmlformats.org/markup-compatibility/2006">
    <mc:Choice Requires="x15">
      <x15ac:absPath xmlns:x15ac="http://schemas.microsoft.com/office/spreadsheetml/2010/11/ac" url="H:\APP\PA\PAForum\Web Publications\FINANCE\Formula Funding and Advisory Committees\2024-2025 Biennium\"/>
    </mc:Choice>
  </mc:AlternateContent>
  <xr:revisionPtr revIDLastSave="0" documentId="13_ncr:1_{43A2FE3C-E273-42BF-BA33-7275FC1AC82E}" xr6:coauthVersionLast="47" xr6:coauthVersionMax="47" xr10:uidLastSave="{00000000-0000-0000-0000-000000000000}"/>
  <bookViews>
    <workbookView xWindow="-108" yWindow="-108" windowWidth="23256" windowHeight="12576" tabRatio="756" xr2:uid="{00000000-000D-0000-FFFF-FFFF00000000}"/>
  </bookViews>
  <sheets>
    <sheet name="Overall Summary FY 24-25" sheetId="4" r:id="rId1"/>
    <sheet name="FTSE Summary" sheetId="10" r:id="rId2"/>
    <sheet name="I&amp;O Calc" sheetId="11" r:id="rId3"/>
    <sheet name="NewData" sheetId="12" r:id="rId4"/>
    <sheet name="Weights" sheetId="13" r:id="rId5"/>
    <sheet name="Infrastructure" sheetId="2" r:id="rId6"/>
    <sheet name="Research" sheetId="1" r:id="rId7"/>
    <sheet name="GME" sheetId="3" r:id="rId8"/>
    <sheet name="Summary Mission Specifics" sheetId="5" r:id="rId9"/>
    <sheet name="Clinical Mission Specifics" sheetId="6" r:id="rId10"/>
    <sheet name="Performance-Based Research Ops" sheetId="7" r:id="rId11"/>
    <sheet name="New Performance-Based Research" sheetId="8" r:id="rId12"/>
    <sheet name="Governor Calculation" sheetId="9" r:id="rId13"/>
  </sheets>
  <externalReferences>
    <externalReference r:id="rId14"/>
  </externalReferences>
  <definedNames>
    <definedName name="_Fill" localSheetId="11" hidden="1">#REF!</definedName>
    <definedName name="_Fill" localSheetId="0" hidden="1">#REF!</definedName>
    <definedName name="_Fill" localSheetId="10" hidden="1">#REF!</definedName>
    <definedName name="_Fill" localSheetId="8" hidden="1">#REF!</definedName>
    <definedName name="_Fill" hidden="1">#REF!</definedName>
    <definedName name="_Order1" hidden="1">255</definedName>
    <definedName name="_Order2" hidden="1">255</definedName>
    <definedName name="AAA" localSheetId="11">#REF!</definedName>
    <definedName name="AAA" localSheetId="10">#REF!</definedName>
    <definedName name="AAA" localSheetId="8">#REF!</definedName>
    <definedName name="AAA">#REF!</definedName>
    <definedName name="AllFormulas">'Overall Summary FY 24-25'!$B$127</definedName>
    <definedName name="AllothersMin">Weights!#REF!</definedName>
    <definedName name="AllWeights">Weights!$A$2:$B$16</definedName>
    <definedName name="BIENNIALTOTAL">'I&amp;O Calc'!$T$350</definedName>
    <definedName name="ClassSize">[1]Weights!$D$16</definedName>
    <definedName name="collegecode">NewData!$C$6:$O$114</definedName>
    <definedName name="DentalEducMin">Weights!#REF!</definedName>
    <definedName name="FTSErecap">'I&amp;O Calc'!$A$291</definedName>
    <definedName name="GME">'Overall Summary FY 24-25'!$B$103</definedName>
    <definedName name="IandO">'Overall Summary FY 24-25'!$A$7</definedName>
    <definedName name="Infrastructure">'Overall Summary FY 24-25'!$A$29</definedName>
    <definedName name="MDAnderson">'I&amp;O Calc'!$A$77</definedName>
    <definedName name="MedEducMin">Weights!#REF!</definedName>
    <definedName name="Mission">'Overall Summary FY 24-25'!$A$89</definedName>
    <definedName name="P_AAA" localSheetId="11">#REF!</definedName>
    <definedName name="P_AAA" localSheetId="10">#REF!</definedName>
    <definedName name="P_AAA" localSheetId="8">#REF!</definedName>
    <definedName name="P_AAA">#REF!</definedName>
    <definedName name="_xlnm.Print_Area" localSheetId="1">'FTSE Summary'!$A$1:$R$78</definedName>
    <definedName name="_xlnm.Print_Area" localSheetId="2">'I&amp;O Calc'!$A$1:$U$369</definedName>
    <definedName name="_xlnm.Print_Area" localSheetId="11">'New Performance-Based Research'!$A$1:$AI$18</definedName>
    <definedName name="_xlnm.Print_Area" localSheetId="0">'Overall Summary FY 24-25'!$A$1:$H$174</definedName>
    <definedName name="_xlnm.Print_Area" localSheetId="10">'Performance-Based Research Ops'!$A$1:$AI$19</definedName>
    <definedName name="_xlnm.Print_Area" localSheetId="6">Research!$A$1:$I$24</definedName>
    <definedName name="_xlnm.Print_Titles" localSheetId="2">'I&amp;O Calc'!$1:$7</definedName>
    <definedName name="_xlnm.Print_Titles" localSheetId="11">'New Performance-Based Research'!$5:$8</definedName>
    <definedName name="_xlnm.Print_Titles" localSheetId="10">'Performance-Based Research Ops'!$5:$8</definedName>
    <definedName name="remotecode" comment="The range starts with the remote code column in the data sheet.">NewData!$E$6:$O$119</definedName>
    <definedName name="Research">'Overall Summary FY 24-25'!$A$51</definedName>
    <definedName name="SHSU">'I&amp;O Calc'!$A$275</definedName>
    <definedName name="solver_adj" localSheetId="2" hidden="1">'I&amp;O Calc'!#REF!</definedName>
    <definedName name="solver_adj2" localSheetId="11" hidden="1">#REF!</definedName>
    <definedName name="solver_adj2" localSheetId="0" hidden="1">#REF!</definedName>
    <definedName name="solver_adj2" localSheetId="10" hidden="1">#REF!</definedName>
    <definedName name="solver_adj2" localSheetId="8" hidden="1">#REF!</definedName>
    <definedName name="solver_adj2" hidden="1">#REF!</definedName>
    <definedName name="solver_cvg" localSheetId="2" hidden="1">0.00000001</definedName>
    <definedName name="solver_cvg" hidden="1">0.0001</definedName>
    <definedName name="solver_drv" localSheetId="2" hidden="1">1</definedName>
    <definedName name="solver_drv" hidden="1">1</definedName>
    <definedName name="solver_est" localSheetId="2" hidden="1">1</definedName>
    <definedName name="solver_est" hidden="1">1</definedName>
    <definedName name="solver_itr" localSheetId="2" hidden="1">10000</definedName>
    <definedName name="solver_itr" hidden="1">100</definedName>
    <definedName name="solver_lin" localSheetId="2" hidden="1">2</definedName>
    <definedName name="solver_lin" hidden="1">2</definedName>
    <definedName name="solver_neg" localSheetId="2" hidden="1">2</definedName>
    <definedName name="solver_neg" hidden="1">2</definedName>
    <definedName name="solver_num" localSheetId="2" hidden="1">0</definedName>
    <definedName name="solver_num" hidden="1">0</definedName>
    <definedName name="solver_nwt" localSheetId="2" hidden="1">1</definedName>
    <definedName name="solver_nwt" hidden="1">1</definedName>
    <definedName name="solver_opt" localSheetId="2" hidden="1">'I&amp;O Calc'!#REF!</definedName>
    <definedName name="solver_opt" localSheetId="11" hidden="1">#REF!</definedName>
    <definedName name="solver_opt" localSheetId="0" hidden="1">#REF!</definedName>
    <definedName name="solver_opt" localSheetId="10" hidden="1">#REF!</definedName>
    <definedName name="solver_opt" localSheetId="8" hidden="1">#REF!</definedName>
    <definedName name="solver_opt" hidden="1">#REF!</definedName>
    <definedName name="solver_pre" localSheetId="2" hidden="1">0.000001</definedName>
    <definedName name="solver_pre" hidden="1">0.000001</definedName>
    <definedName name="solver_scl" localSheetId="2" hidden="1">2</definedName>
    <definedName name="solver_scl" hidden="1">2</definedName>
    <definedName name="solver_sho" localSheetId="2" hidden="1">2</definedName>
    <definedName name="solver_sho" hidden="1">2</definedName>
    <definedName name="solver_tim" localSheetId="2" hidden="1">10000</definedName>
    <definedName name="solver_tim" hidden="1">100</definedName>
    <definedName name="solver_tol" localSheetId="2" hidden="1">0.05</definedName>
    <definedName name="solver_tol" hidden="1">0.05</definedName>
    <definedName name="solver_typ" localSheetId="2" hidden="1">2</definedName>
    <definedName name="solver_typ" hidden="1">3</definedName>
    <definedName name="solver_val" localSheetId="2" hidden="1">0.00001</definedName>
    <definedName name="solver_val" hidden="1">311744657</definedName>
    <definedName name="SumbyFormula">'Overall Summary FY 24-25'!$B$148</definedName>
    <definedName name="TAMU">'I&amp;O Calc'!$A$88</definedName>
    <definedName name="Total">'Overall Summary FY 24-25'!$B$69</definedName>
    <definedName name="TTU">'I&amp;O Calc'!$A$139</definedName>
    <definedName name="TTUElPaso">'I&amp;O Calc'!$A$180</definedName>
    <definedName name="Tyler">'I&amp;O Calc'!$A$82</definedName>
    <definedName name="UH">'I&amp;O Calc'!$A$253</definedName>
    <definedName name="UTDell">'I&amp;O Calc'!$A$198</definedName>
    <definedName name="UTHouston">'I&amp;O Calc'!$A$25</definedName>
    <definedName name="UTHSCSA">'I&amp;O Calc'!$A$53</definedName>
    <definedName name="UTMB">'I&amp;O Calc'!$A$16</definedName>
    <definedName name="UTRGV">'I&amp;O Calc'!$A$227</definedName>
    <definedName name="UTSA">'I&amp;O Calc'!$A$53</definedName>
    <definedName name="UTSW">'I&amp;O Calc'!$A$9</definedName>
    <definedName name="weights">Weights!$B$4:$D$13</definedName>
    <definedName name="Z_175A74B9_04D8_4168_BE0E_B9F6D216804E_.wvu.Cols" localSheetId="11" hidden="1">#REF!</definedName>
    <definedName name="Z_175A74B9_04D8_4168_BE0E_B9F6D216804E_.wvu.Cols" localSheetId="0" hidden="1">#REF!</definedName>
    <definedName name="Z_175A74B9_04D8_4168_BE0E_B9F6D216804E_.wvu.Cols" localSheetId="10" hidden="1">#REF!</definedName>
    <definedName name="Z_175A74B9_04D8_4168_BE0E_B9F6D216804E_.wvu.Cols" localSheetId="8" hidden="1">#REF!</definedName>
    <definedName name="Z_175A74B9_04D8_4168_BE0E_B9F6D216804E_.wvu.Cols" hidden="1">#REF!</definedName>
    <definedName name="Z_175A74B9_04D8_4168_BE0E_B9F6D216804E_.wvu.PrintTitles" hidden="1">#REF!,#REF!</definedName>
    <definedName name="Z_3B4A1CD3_71A7_41D8_BB20_2C00DD672F4C_.wvu.Cols" localSheetId="11" hidden="1">#REF!</definedName>
    <definedName name="Z_3B4A1CD3_71A7_41D8_BB20_2C00DD672F4C_.wvu.Cols" localSheetId="0" hidden="1">#REF!</definedName>
    <definedName name="Z_3B4A1CD3_71A7_41D8_BB20_2C00DD672F4C_.wvu.Cols" localSheetId="10" hidden="1">#REF!</definedName>
    <definedName name="Z_3B4A1CD3_71A7_41D8_BB20_2C00DD672F4C_.wvu.Cols" localSheetId="8" hidden="1">#REF!</definedName>
    <definedName name="Z_3B4A1CD3_71A7_41D8_BB20_2C00DD672F4C_.wvu.Cols" hidden="1">#REF!</definedName>
    <definedName name="Z_3B4A1CD3_71A7_41D8_BB20_2C00DD672F4C_.wvu.PrintTitles" hidden="1">#REF!,#REF!</definedName>
    <definedName name="Z_5F15871F_1F9D_454B_B820_06244E250857_.wvu.Cols" localSheetId="11" hidden="1">#REF!</definedName>
    <definedName name="Z_5F15871F_1F9D_454B_B820_06244E250857_.wvu.Cols" localSheetId="0" hidden="1">#REF!</definedName>
    <definedName name="Z_5F15871F_1F9D_454B_B820_06244E250857_.wvu.Cols" localSheetId="10" hidden="1">#REF!</definedName>
    <definedName name="Z_5F15871F_1F9D_454B_B820_06244E250857_.wvu.Cols" localSheetId="8" hidden="1">#REF!</definedName>
    <definedName name="Z_5F15871F_1F9D_454B_B820_06244E250857_.wvu.Cols" hidden="1">#REF!</definedName>
    <definedName name="Z_5F15871F_1F9D_454B_B820_06244E250857_.wvu.PrintTitles" hidden="1">#REF!,#REF!</definedName>
    <definedName name="Z_82D93351_CB79_47D8_8AE8_2B10EACDB89E_.wvu.Cols" localSheetId="11" hidden="1">#REF!</definedName>
    <definedName name="Z_82D93351_CB79_47D8_8AE8_2B10EACDB89E_.wvu.Cols" localSheetId="0" hidden="1">#REF!</definedName>
    <definedName name="Z_82D93351_CB79_47D8_8AE8_2B10EACDB89E_.wvu.Cols" localSheetId="10" hidden="1">#REF!</definedName>
    <definedName name="Z_82D93351_CB79_47D8_8AE8_2B10EACDB89E_.wvu.Cols" localSheetId="8" hidden="1">#REF!</definedName>
    <definedName name="Z_82D93351_CB79_47D8_8AE8_2B10EACDB89E_.wvu.Cols" hidden="1">#REF!</definedName>
    <definedName name="Z_82D93351_CB79_47D8_8AE8_2B10EACDB89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15" i="8" l="1"/>
  <c r="AP15" i="8"/>
  <c r="K17" i="7" l="1"/>
  <c r="F170" i="4"/>
  <c r="E170" i="4"/>
  <c r="C170" i="4"/>
  <c r="C174" i="4"/>
  <c r="C142" i="4"/>
  <c r="C141" i="4"/>
  <c r="C138" i="4"/>
  <c r="E33" i="5"/>
  <c r="J5" i="6"/>
  <c r="D26" i="4"/>
  <c r="AP50" i="8"/>
  <c r="C40" i="5"/>
  <c r="C98" i="4" s="1"/>
  <c r="C38" i="5"/>
  <c r="C96" i="4" s="1"/>
  <c r="C25" i="5"/>
  <c r="C23" i="5"/>
  <c r="C22" i="5"/>
  <c r="C35" i="5" s="1"/>
  <c r="C93" i="4" s="1"/>
  <c r="C21" i="5"/>
  <c r="C34" i="5" s="1"/>
  <c r="C92" i="4" s="1"/>
  <c r="C20" i="5"/>
  <c r="C32" i="5" s="1"/>
  <c r="C90" i="4" s="1"/>
  <c r="S23" i="10"/>
  <c r="R32" i="10"/>
  <c r="F65" i="10"/>
  <c r="F64" i="10"/>
  <c r="D65" i="10"/>
  <c r="D64" i="10"/>
  <c r="D63" i="10"/>
  <c r="Q48" i="10"/>
  <c r="P48" i="10"/>
  <c r="N48" i="10"/>
  <c r="C48" i="10"/>
  <c r="Q46" i="10"/>
  <c r="O46" i="10"/>
  <c r="P46" i="10"/>
  <c r="Q40" i="10"/>
  <c r="Q41" i="10"/>
  <c r="Q42" i="10"/>
  <c r="Q43" i="10"/>
  <c r="Q44" i="10"/>
  <c r="Q45" i="10"/>
  <c r="Q47" i="10"/>
  <c r="Q39" i="10"/>
  <c r="P34" i="10"/>
  <c r="O35" i="10"/>
  <c r="Q30" i="10"/>
  <c r="Q32" i="10" s="1"/>
  <c r="Q35" i="10" s="1"/>
  <c r="P32" i="10"/>
  <c r="Q34" i="10"/>
  <c r="O32" i="10"/>
  <c r="P30" i="10"/>
  <c r="O30" i="10"/>
  <c r="G299" i="11"/>
  <c r="C15" i="10" s="1"/>
  <c r="B141" i="4"/>
  <c r="B117" i="4"/>
  <c r="B86" i="4"/>
  <c r="B65" i="4"/>
  <c r="B43" i="4"/>
  <c r="A346" i="11"/>
  <c r="A368" i="11"/>
  <c r="I344" i="11"/>
  <c r="A324" i="11"/>
  <c r="I322" i="11"/>
  <c r="D22" i="4"/>
  <c r="H278" i="11"/>
  <c r="H322" i="11" s="1"/>
  <c r="I278" i="11"/>
  <c r="J278" i="11"/>
  <c r="K278" i="11"/>
  <c r="P35" i="10" l="1"/>
  <c r="H344" i="11"/>
  <c r="N10" i="11" l="1"/>
  <c r="N11" i="11"/>
  <c r="N26" i="11"/>
  <c r="I12" i="13"/>
  <c r="I11" i="13"/>
  <c r="I10" i="13"/>
  <c r="I9" i="13"/>
  <c r="I8" i="13"/>
  <c r="I7" i="13"/>
  <c r="I6" i="13"/>
  <c r="I5" i="13"/>
  <c r="I4" i="13"/>
  <c r="E2" i="13"/>
  <c r="E13" i="13" s="1"/>
  <c r="L105" i="12"/>
  <c r="K105" i="12"/>
  <c r="I105" i="12"/>
  <c r="R102" i="12"/>
  <c r="O102" i="12"/>
  <c r="O105" i="12" s="1"/>
  <c r="N102" i="12"/>
  <c r="N105" i="12" s="1"/>
  <c r="M102" i="12"/>
  <c r="M105" i="12" s="1"/>
  <c r="L102" i="12"/>
  <c r="K102" i="12"/>
  <c r="J102" i="12"/>
  <c r="J105" i="12" s="1"/>
  <c r="I102" i="12"/>
  <c r="H102" i="12"/>
  <c r="H105" i="12" s="1"/>
  <c r="G102" i="12"/>
  <c r="G105" i="12" s="1"/>
  <c r="S100" i="12"/>
  <c r="T100" i="12" s="1"/>
  <c r="Q100" i="12"/>
  <c r="Q99" i="12"/>
  <c r="S99" i="12" s="1"/>
  <c r="T99" i="12" s="1"/>
  <c r="Q98" i="12"/>
  <c r="S98" i="12" s="1"/>
  <c r="T98" i="12" s="1"/>
  <c r="Q96" i="12"/>
  <c r="S96" i="12" s="1"/>
  <c r="T96" i="12" s="1"/>
  <c r="S91" i="12"/>
  <c r="T91" i="12" s="1"/>
  <c r="Q90" i="12"/>
  <c r="S90" i="12" s="1"/>
  <c r="T90" i="12" s="1"/>
  <c r="T88" i="12"/>
  <c r="S88" i="12"/>
  <c r="Q88" i="12"/>
  <c r="Q87" i="12"/>
  <c r="S87" i="12" s="1"/>
  <c r="T87" i="12" s="1"/>
  <c r="Q73" i="12"/>
  <c r="S73" i="12" s="1"/>
  <c r="T73" i="12" s="1"/>
  <c r="Q69" i="12"/>
  <c r="S69" i="12" s="1"/>
  <c r="T69" i="12" s="1"/>
  <c r="T49" i="12"/>
  <c r="S49" i="12"/>
  <c r="Q49" i="12"/>
  <c r="Q44" i="12"/>
  <c r="S44" i="12" s="1"/>
  <c r="T44" i="12" s="1"/>
  <c r="Q20" i="12"/>
  <c r="S20" i="12" s="1"/>
  <c r="T20" i="12" s="1"/>
  <c r="Q9" i="12"/>
  <c r="Q102" i="12" s="1"/>
  <c r="S102" i="12" s="1"/>
  <c r="T102" i="12" s="1"/>
  <c r="S367" i="11"/>
  <c r="O345" i="11"/>
  <c r="H336" i="11"/>
  <c r="G336" i="11"/>
  <c r="F336" i="11"/>
  <c r="H335" i="11"/>
  <c r="G335" i="11"/>
  <c r="H314" i="11"/>
  <c r="G314" i="11"/>
  <c r="F314" i="11"/>
  <c r="Q313" i="11"/>
  <c r="H313" i="11"/>
  <c r="G313" i="11"/>
  <c r="R301" i="11"/>
  <c r="F300" i="11"/>
  <c r="H299" i="11"/>
  <c r="I298" i="11"/>
  <c r="F298" i="11"/>
  <c r="H296" i="11"/>
  <c r="G296" i="11"/>
  <c r="C12" i="10" s="1"/>
  <c r="H295" i="11"/>
  <c r="D11" i="10" s="1"/>
  <c r="G295" i="11"/>
  <c r="C11" i="10" s="1"/>
  <c r="H294" i="11"/>
  <c r="D10" i="10" s="1"/>
  <c r="G294" i="11"/>
  <c r="C10" i="10" s="1"/>
  <c r="F294" i="11"/>
  <c r="B10" i="10" s="1"/>
  <c r="H293" i="11"/>
  <c r="G293" i="11"/>
  <c r="C9" i="10" s="1"/>
  <c r="H292" i="11"/>
  <c r="G292" i="11"/>
  <c r="Q277" i="11"/>
  <c r="Q278" i="11" s="1"/>
  <c r="Q322" i="11" s="1"/>
  <c r="N276" i="11"/>
  <c r="L276" i="11"/>
  <c r="L277" i="11" s="1"/>
  <c r="L278" i="11" s="1"/>
  <c r="G276" i="11"/>
  <c r="M276" i="11" s="1"/>
  <c r="M277" i="11" s="1"/>
  <c r="M278" i="11" s="1"/>
  <c r="K273" i="11"/>
  <c r="J273" i="11"/>
  <c r="I273" i="11"/>
  <c r="I321" i="11" s="1"/>
  <c r="H273" i="11"/>
  <c r="H321" i="11" s="1"/>
  <c r="F273" i="11"/>
  <c r="F321" i="11" s="1"/>
  <c r="N272" i="11"/>
  <c r="L272" i="11"/>
  <c r="M272" i="11" s="1"/>
  <c r="V271" i="11"/>
  <c r="Q270" i="11"/>
  <c r="K270" i="11"/>
  <c r="J270" i="11"/>
  <c r="I270" i="11"/>
  <c r="V269" i="11"/>
  <c r="V268" i="11"/>
  <c r="N268" i="11"/>
  <c r="L268" i="11"/>
  <c r="M268" i="11" s="1"/>
  <c r="V267" i="11"/>
  <c r="V266" i="11"/>
  <c r="Q266" i="11"/>
  <c r="F266" i="11"/>
  <c r="V265" i="11"/>
  <c r="V264" i="11"/>
  <c r="N264" i="11"/>
  <c r="L264" i="11"/>
  <c r="L266" i="11" s="1"/>
  <c r="V263" i="11"/>
  <c r="Q262" i="11"/>
  <c r="L262" i="11"/>
  <c r="K262" i="11"/>
  <c r="J262" i="11"/>
  <c r="I262" i="11"/>
  <c r="F262" i="11"/>
  <c r="V261" i="11"/>
  <c r="V260" i="11"/>
  <c r="N260" i="11"/>
  <c r="L260" i="11"/>
  <c r="M260" i="11" s="1"/>
  <c r="V259" i="11"/>
  <c r="Q258" i="11"/>
  <c r="K258" i="11"/>
  <c r="J258" i="11"/>
  <c r="I258" i="11"/>
  <c r="V257" i="11"/>
  <c r="V256" i="11"/>
  <c r="N256" i="11"/>
  <c r="L256" i="11"/>
  <c r="L258" i="11" s="1"/>
  <c r="Q255" i="11"/>
  <c r="N254" i="11"/>
  <c r="L254" i="11"/>
  <c r="L255" i="11" s="1"/>
  <c r="L273" i="11" s="1"/>
  <c r="G254" i="11"/>
  <c r="M254" i="11" s="1"/>
  <c r="K250" i="11"/>
  <c r="J250" i="11"/>
  <c r="I250" i="11"/>
  <c r="I342" i="11" s="1"/>
  <c r="H250" i="11"/>
  <c r="H342" i="11" s="1"/>
  <c r="Q249" i="11"/>
  <c r="Q300" i="11" s="1"/>
  <c r="N248" i="11"/>
  <c r="K248" i="11"/>
  <c r="J248" i="11"/>
  <c r="I248" i="11"/>
  <c r="I300" i="11" s="1"/>
  <c r="H248" i="11"/>
  <c r="H300" i="11" s="1"/>
  <c r="G248" i="11"/>
  <c r="G300" i="11" s="1"/>
  <c r="C16" i="10" s="1"/>
  <c r="N247" i="11"/>
  <c r="L247" i="11"/>
  <c r="M247" i="11" s="1"/>
  <c r="Q245" i="11"/>
  <c r="K245" i="11"/>
  <c r="J245" i="11"/>
  <c r="I245" i="11"/>
  <c r="N243" i="11"/>
  <c r="L243" i="11"/>
  <c r="L245" i="11" s="1"/>
  <c r="Q241" i="11"/>
  <c r="F241" i="11"/>
  <c r="N239" i="11"/>
  <c r="L239" i="11"/>
  <c r="L241" i="11" s="1"/>
  <c r="Q237" i="11"/>
  <c r="K237" i="11"/>
  <c r="J237" i="11"/>
  <c r="I237" i="11"/>
  <c r="F237" i="11"/>
  <c r="N235" i="11"/>
  <c r="L235" i="11"/>
  <c r="M235" i="11" s="1"/>
  <c r="M237" i="11" s="1"/>
  <c r="Q233" i="11"/>
  <c r="K233" i="11"/>
  <c r="J233" i="11"/>
  <c r="I233" i="11"/>
  <c r="N231" i="11"/>
  <c r="L231" i="11"/>
  <c r="L233" i="11" s="1"/>
  <c r="Q229" i="11"/>
  <c r="N228" i="11"/>
  <c r="L228" i="11"/>
  <c r="L229" i="11" s="1"/>
  <c r="G228" i="11"/>
  <c r="G229" i="11" s="1"/>
  <c r="H224" i="11"/>
  <c r="H341" i="11" s="1"/>
  <c r="N222" i="11"/>
  <c r="N224" i="11" s="1"/>
  <c r="L222" i="11"/>
  <c r="M222" i="11" s="1"/>
  <c r="V221" i="11"/>
  <c r="Q220" i="11"/>
  <c r="I220" i="11"/>
  <c r="V219" i="11"/>
  <c r="V218" i="11"/>
  <c r="N218" i="11"/>
  <c r="L218" i="11"/>
  <c r="M218" i="11" s="1"/>
  <c r="V217" i="11"/>
  <c r="Q216" i="11"/>
  <c r="K216" i="11"/>
  <c r="J216" i="11"/>
  <c r="I216" i="11"/>
  <c r="V215" i="11"/>
  <c r="V214" i="11"/>
  <c r="N214" i="11"/>
  <c r="L214" i="11"/>
  <c r="M214" i="11" s="1"/>
  <c r="V213" i="11"/>
  <c r="V212" i="11"/>
  <c r="Q212" i="11"/>
  <c r="F212" i="11"/>
  <c r="V211" i="11"/>
  <c r="V210" i="11"/>
  <c r="N210" i="11"/>
  <c r="L210" i="11"/>
  <c r="L212" i="11" s="1"/>
  <c r="V209" i="11"/>
  <c r="Q208" i="11"/>
  <c r="K208" i="11"/>
  <c r="J208" i="11"/>
  <c r="I208" i="11"/>
  <c r="F208" i="11"/>
  <c r="V207" i="11"/>
  <c r="V206" i="11"/>
  <c r="N206" i="11"/>
  <c r="L206" i="11"/>
  <c r="L208" i="11" s="1"/>
  <c r="V205" i="11"/>
  <c r="Q204" i="11"/>
  <c r="K204" i="11"/>
  <c r="J204" i="11"/>
  <c r="I204" i="11"/>
  <c r="V203" i="11"/>
  <c r="V202" i="11"/>
  <c r="N202" i="11"/>
  <c r="L202" i="11"/>
  <c r="L204" i="11" s="1"/>
  <c r="V201" i="11"/>
  <c r="Q200" i="11"/>
  <c r="N199" i="11"/>
  <c r="L199" i="11"/>
  <c r="G199" i="11"/>
  <c r="G200" i="11" s="1"/>
  <c r="G224" i="11" s="1"/>
  <c r="Q194" i="11"/>
  <c r="K194" i="11"/>
  <c r="J194" i="11"/>
  <c r="I194" i="11"/>
  <c r="F194" i="11"/>
  <c r="N193" i="11"/>
  <c r="H193" i="11"/>
  <c r="H194" i="11" s="1"/>
  <c r="H195" i="11" s="1"/>
  <c r="G193" i="11"/>
  <c r="G194" i="11" s="1"/>
  <c r="Q191" i="11"/>
  <c r="N190" i="11"/>
  <c r="K190" i="11"/>
  <c r="K191" i="11" s="1"/>
  <c r="J190" i="11"/>
  <c r="J191" i="11" s="1"/>
  <c r="I190" i="11"/>
  <c r="I191" i="11" s="1"/>
  <c r="F190" i="11"/>
  <c r="F191" i="11" s="1"/>
  <c r="Q188" i="11"/>
  <c r="N187" i="11"/>
  <c r="L187" i="11"/>
  <c r="M187" i="11" s="1"/>
  <c r="Q185" i="11"/>
  <c r="N184" i="11"/>
  <c r="K184" i="11"/>
  <c r="K185" i="11" s="1"/>
  <c r="J184" i="11"/>
  <c r="I184" i="11"/>
  <c r="I185" i="11" s="1"/>
  <c r="Q182" i="11"/>
  <c r="N181" i="11"/>
  <c r="L181" i="11"/>
  <c r="L182" i="11" s="1"/>
  <c r="G181" i="11"/>
  <c r="G182" i="11" s="1"/>
  <c r="N177" i="11"/>
  <c r="H177" i="11"/>
  <c r="H317" i="11" s="1"/>
  <c r="N175" i="11"/>
  <c r="K175" i="11"/>
  <c r="J175" i="11"/>
  <c r="I175" i="11"/>
  <c r="N174" i="11"/>
  <c r="K174" i="11"/>
  <c r="J174" i="11"/>
  <c r="I174" i="11"/>
  <c r="N173" i="11"/>
  <c r="K173" i="11"/>
  <c r="J173" i="11"/>
  <c r="I173" i="11"/>
  <c r="N170" i="11"/>
  <c r="K170" i="11"/>
  <c r="J170" i="11"/>
  <c r="I170" i="11"/>
  <c r="N169" i="11"/>
  <c r="K169" i="11"/>
  <c r="J169" i="11"/>
  <c r="I169" i="11"/>
  <c r="N168" i="11"/>
  <c r="K168" i="11"/>
  <c r="J168" i="11"/>
  <c r="I168" i="11"/>
  <c r="N167" i="11"/>
  <c r="K167" i="11"/>
  <c r="J167" i="11"/>
  <c r="I167" i="11"/>
  <c r="N164" i="11"/>
  <c r="L164" i="11"/>
  <c r="F164" i="11"/>
  <c r="N163" i="11"/>
  <c r="K163" i="11"/>
  <c r="J163" i="11"/>
  <c r="I163" i="11"/>
  <c r="F163" i="11"/>
  <c r="N162" i="11"/>
  <c r="K162" i="11"/>
  <c r="J162" i="11"/>
  <c r="I162" i="11"/>
  <c r="F162" i="11"/>
  <c r="N161" i="11"/>
  <c r="K161" i="11"/>
  <c r="J161" i="11"/>
  <c r="I161" i="11"/>
  <c r="F161" i="11"/>
  <c r="N153" i="11"/>
  <c r="K153" i="11"/>
  <c r="J153" i="11"/>
  <c r="I153" i="11"/>
  <c r="I158" i="11" s="1"/>
  <c r="N152" i="11"/>
  <c r="K152" i="11"/>
  <c r="J152" i="11"/>
  <c r="I152" i="11"/>
  <c r="N151" i="11"/>
  <c r="K151" i="11"/>
  <c r="J151" i="11"/>
  <c r="I151" i="11"/>
  <c r="I156" i="11" s="1"/>
  <c r="N150" i="11"/>
  <c r="K150" i="11"/>
  <c r="J150" i="11"/>
  <c r="I150" i="11"/>
  <c r="F150" i="11"/>
  <c r="N147" i="11"/>
  <c r="K147" i="11"/>
  <c r="J147" i="11"/>
  <c r="I147" i="11"/>
  <c r="N146" i="11"/>
  <c r="K146" i="11"/>
  <c r="J146" i="11"/>
  <c r="I146" i="11"/>
  <c r="N145" i="11"/>
  <c r="K145" i="11"/>
  <c r="J145" i="11"/>
  <c r="I145" i="11"/>
  <c r="N142" i="11"/>
  <c r="L142" i="11"/>
  <c r="G142" i="11"/>
  <c r="N141" i="11"/>
  <c r="L141" i="11"/>
  <c r="G141" i="11"/>
  <c r="M141" i="11" s="1"/>
  <c r="N140" i="11"/>
  <c r="L140" i="11"/>
  <c r="G140" i="11"/>
  <c r="H136" i="11"/>
  <c r="N135" i="11"/>
  <c r="K135" i="11"/>
  <c r="J135" i="11"/>
  <c r="I135" i="11"/>
  <c r="I299" i="11" s="1"/>
  <c r="E15" i="10" s="1"/>
  <c r="G135" i="11"/>
  <c r="G136" i="11" s="1"/>
  <c r="F135" i="11"/>
  <c r="N134" i="11"/>
  <c r="K134" i="11"/>
  <c r="J134" i="11"/>
  <c r="I134" i="11"/>
  <c r="F134" i="11"/>
  <c r="F296" i="11" s="1"/>
  <c r="B12" i="10" s="1"/>
  <c r="N133" i="11"/>
  <c r="K133" i="11"/>
  <c r="J133" i="11"/>
  <c r="I133" i="11"/>
  <c r="F133" i="11"/>
  <c r="N132" i="11"/>
  <c r="K132" i="11"/>
  <c r="J132" i="11"/>
  <c r="I132" i="11"/>
  <c r="F132" i="11"/>
  <c r="N131" i="11"/>
  <c r="K131" i="11"/>
  <c r="J131" i="11"/>
  <c r="I131" i="11"/>
  <c r="F131" i="11"/>
  <c r="N125" i="11"/>
  <c r="K125" i="11"/>
  <c r="J125" i="11"/>
  <c r="I125" i="11"/>
  <c r="H125" i="11"/>
  <c r="G125" i="11"/>
  <c r="F125" i="11"/>
  <c r="N124" i="11"/>
  <c r="K124" i="11"/>
  <c r="J124" i="11"/>
  <c r="I124" i="11"/>
  <c r="H124" i="11"/>
  <c r="G124" i="11"/>
  <c r="F124" i="11"/>
  <c r="N123" i="11"/>
  <c r="K123" i="11"/>
  <c r="J123" i="11"/>
  <c r="I123" i="11"/>
  <c r="H123" i="11"/>
  <c r="G123" i="11"/>
  <c r="F123" i="11"/>
  <c r="N122" i="11"/>
  <c r="K122" i="11"/>
  <c r="J122" i="11"/>
  <c r="I122" i="11"/>
  <c r="H122" i="11"/>
  <c r="G122" i="11"/>
  <c r="F122" i="11"/>
  <c r="N121" i="11"/>
  <c r="K121" i="11"/>
  <c r="J121" i="11"/>
  <c r="I121" i="11"/>
  <c r="H121" i="11"/>
  <c r="G121" i="11"/>
  <c r="F121" i="11"/>
  <c r="N120" i="11"/>
  <c r="K120" i="11"/>
  <c r="J120" i="11"/>
  <c r="L120" i="11" s="1"/>
  <c r="I120" i="11"/>
  <c r="H120" i="11"/>
  <c r="G120" i="11"/>
  <c r="F120" i="11"/>
  <c r="N119" i="11"/>
  <c r="K119" i="11"/>
  <c r="J119" i="11"/>
  <c r="I119" i="11"/>
  <c r="H119" i="11"/>
  <c r="G119" i="11"/>
  <c r="F119" i="11"/>
  <c r="N118" i="11"/>
  <c r="K118" i="11"/>
  <c r="J118" i="11"/>
  <c r="I118" i="11"/>
  <c r="F118" i="11"/>
  <c r="N115" i="11"/>
  <c r="J115" i="11"/>
  <c r="L115" i="11" s="1"/>
  <c r="I115" i="11"/>
  <c r="N114" i="11"/>
  <c r="J114" i="11"/>
  <c r="L114" i="11" s="1"/>
  <c r="I114" i="11"/>
  <c r="N111" i="11"/>
  <c r="K111" i="11"/>
  <c r="J111" i="11"/>
  <c r="I111" i="11"/>
  <c r="F111" i="11"/>
  <c r="N110" i="11"/>
  <c r="K110" i="11"/>
  <c r="J110" i="11"/>
  <c r="I110" i="11"/>
  <c r="F110" i="11"/>
  <c r="N109" i="11"/>
  <c r="K109" i="11"/>
  <c r="J109" i="11"/>
  <c r="I109" i="11"/>
  <c r="F109" i="11"/>
  <c r="N107" i="11"/>
  <c r="I124" i="10" s="1"/>
  <c r="I131" i="10" s="1"/>
  <c r="L107" i="11"/>
  <c r="I107" i="11"/>
  <c r="I74" i="10" s="1"/>
  <c r="F107" i="11"/>
  <c r="I73" i="10" s="1"/>
  <c r="H105" i="11"/>
  <c r="G105" i="11"/>
  <c r="N104" i="11"/>
  <c r="K104" i="11"/>
  <c r="J104" i="11"/>
  <c r="I104" i="11"/>
  <c r="N103" i="11"/>
  <c r="K103" i="11"/>
  <c r="J103" i="11"/>
  <c r="I103" i="11"/>
  <c r="N102" i="11"/>
  <c r="K102" i="11"/>
  <c r="J102" i="11"/>
  <c r="I102" i="11"/>
  <c r="N101" i="11"/>
  <c r="K101" i="11"/>
  <c r="J101" i="11"/>
  <c r="I101" i="11"/>
  <c r="N100" i="11"/>
  <c r="K100" i="11"/>
  <c r="J100" i="11"/>
  <c r="I100" i="11"/>
  <c r="N99" i="11"/>
  <c r="K99" i="11"/>
  <c r="J99" i="11"/>
  <c r="I99" i="11"/>
  <c r="F99" i="11"/>
  <c r="N97" i="11"/>
  <c r="L97" i="11"/>
  <c r="H97" i="11"/>
  <c r="G97" i="11"/>
  <c r="N94" i="11"/>
  <c r="L94" i="11"/>
  <c r="G94" i="11"/>
  <c r="N93" i="11"/>
  <c r="L93" i="11"/>
  <c r="G93" i="11"/>
  <c r="N92" i="11"/>
  <c r="L92" i="11"/>
  <c r="G92" i="11"/>
  <c r="N91" i="11"/>
  <c r="L91" i="11"/>
  <c r="G91" i="11"/>
  <c r="M91" i="11" s="1"/>
  <c r="N90" i="11"/>
  <c r="L90" i="11"/>
  <c r="G90" i="11"/>
  <c r="N89" i="11"/>
  <c r="L89" i="11"/>
  <c r="G89" i="11"/>
  <c r="L85" i="11"/>
  <c r="N84" i="11"/>
  <c r="L84" i="11"/>
  <c r="I84" i="11"/>
  <c r="N83" i="11"/>
  <c r="L83" i="11"/>
  <c r="I83" i="11"/>
  <c r="N78" i="11"/>
  <c r="L78" i="11"/>
  <c r="L79" i="11" s="1"/>
  <c r="I78" i="11"/>
  <c r="I79" i="11" s="1"/>
  <c r="F78" i="11"/>
  <c r="H73" i="11"/>
  <c r="G73" i="11"/>
  <c r="N72" i="11"/>
  <c r="I72" i="11"/>
  <c r="F72" i="11"/>
  <c r="M72" i="11" s="1"/>
  <c r="N71" i="11"/>
  <c r="K71" i="11"/>
  <c r="J71" i="11"/>
  <c r="J73" i="11" s="1"/>
  <c r="I71" i="11"/>
  <c r="F141" i="10" s="1"/>
  <c r="F148" i="10" s="1"/>
  <c r="F71" i="11"/>
  <c r="N68" i="11"/>
  <c r="L68" i="11"/>
  <c r="F68" i="11"/>
  <c r="N67" i="11"/>
  <c r="L67" i="11"/>
  <c r="I67" i="11"/>
  <c r="F67" i="11"/>
  <c r="N66" i="11"/>
  <c r="K66" i="11"/>
  <c r="J66" i="11"/>
  <c r="I66" i="11"/>
  <c r="F66" i="11"/>
  <c r="N65" i="11"/>
  <c r="K65" i="11"/>
  <c r="J65" i="11"/>
  <c r="I65" i="11"/>
  <c r="F65" i="11"/>
  <c r="N64" i="11"/>
  <c r="L64" i="11"/>
  <c r="I64" i="11"/>
  <c r="N63" i="11"/>
  <c r="K63" i="11"/>
  <c r="J63" i="11"/>
  <c r="I63" i="11"/>
  <c r="F63" i="11"/>
  <c r="N61" i="11"/>
  <c r="K61" i="11"/>
  <c r="J61" i="11"/>
  <c r="I61" i="11"/>
  <c r="N58" i="11"/>
  <c r="H58" i="11"/>
  <c r="G58" i="11"/>
  <c r="N57" i="11"/>
  <c r="L57" i="11"/>
  <c r="H57" i="11"/>
  <c r="G57" i="11"/>
  <c r="N56" i="11"/>
  <c r="L56" i="11"/>
  <c r="H56" i="11"/>
  <c r="G56" i="11"/>
  <c r="N54" i="11"/>
  <c r="L54" i="11"/>
  <c r="G54" i="11"/>
  <c r="F49" i="11"/>
  <c r="N48" i="11"/>
  <c r="K48" i="11"/>
  <c r="J48" i="11"/>
  <c r="I48" i="11"/>
  <c r="N47" i="11"/>
  <c r="K47" i="11"/>
  <c r="J47" i="11"/>
  <c r="I47" i="11"/>
  <c r="N46" i="11"/>
  <c r="K46" i="11"/>
  <c r="J46" i="11"/>
  <c r="I46" i="11"/>
  <c r="N45" i="11"/>
  <c r="K45" i="11"/>
  <c r="J45" i="11"/>
  <c r="I45" i="11"/>
  <c r="N44" i="11"/>
  <c r="K44" i="11"/>
  <c r="J44" i="11"/>
  <c r="L44" i="11" s="1"/>
  <c r="I44" i="11"/>
  <c r="N43" i="11"/>
  <c r="K43" i="11"/>
  <c r="J43" i="11"/>
  <c r="I43" i="11"/>
  <c r="N40" i="11"/>
  <c r="K40" i="11"/>
  <c r="J40" i="11"/>
  <c r="I40" i="11"/>
  <c r="N39" i="11"/>
  <c r="K39" i="11"/>
  <c r="J39" i="11"/>
  <c r="I39" i="11"/>
  <c r="F39" i="11"/>
  <c r="F41" i="11" s="1"/>
  <c r="N37" i="11"/>
  <c r="K37" i="11"/>
  <c r="J37" i="11"/>
  <c r="I37" i="11"/>
  <c r="N36" i="11"/>
  <c r="K36" i="11"/>
  <c r="J36" i="11"/>
  <c r="I36" i="11"/>
  <c r="N34" i="11"/>
  <c r="E122" i="10" s="1"/>
  <c r="E125" i="10" s="1"/>
  <c r="L34" i="11"/>
  <c r="I34" i="11"/>
  <c r="F34" i="11"/>
  <c r="N31" i="11"/>
  <c r="L31" i="11"/>
  <c r="M31" i="11" s="1"/>
  <c r="N30" i="11"/>
  <c r="K30" i="11"/>
  <c r="J30" i="11"/>
  <c r="I30" i="11"/>
  <c r="N29" i="11"/>
  <c r="K29" i="11"/>
  <c r="J29" i="11"/>
  <c r="I29" i="11"/>
  <c r="N27" i="11"/>
  <c r="L27" i="11"/>
  <c r="H27" i="11"/>
  <c r="H50" i="11" s="1"/>
  <c r="G27" i="11"/>
  <c r="L26" i="11"/>
  <c r="G26" i="11"/>
  <c r="Q22" i="11"/>
  <c r="Q310" i="11" s="1"/>
  <c r="H22" i="11"/>
  <c r="N21" i="11"/>
  <c r="K21" i="11"/>
  <c r="J21" i="11"/>
  <c r="I21" i="11"/>
  <c r="N20" i="11"/>
  <c r="K20" i="11"/>
  <c r="J20" i="11"/>
  <c r="L20" i="11" s="1"/>
  <c r="I20" i="11"/>
  <c r="F20" i="11"/>
  <c r="N19" i="11"/>
  <c r="K19" i="11"/>
  <c r="J19" i="11"/>
  <c r="I19" i="11"/>
  <c r="D74" i="10" s="1"/>
  <c r="F19" i="11"/>
  <c r="D73" i="10" s="1"/>
  <c r="N18" i="11"/>
  <c r="K18" i="11"/>
  <c r="J18" i="11"/>
  <c r="I18" i="11"/>
  <c r="N17" i="11"/>
  <c r="L17" i="11"/>
  <c r="G17" i="11"/>
  <c r="G22" i="11" s="1"/>
  <c r="Q13" i="11"/>
  <c r="H13" i="11"/>
  <c r="N12" i="11"/>
  <c r="C123" i="10" s="1"/>
  <c r="C130" i="10" s="1"/>
  <c r="K12" i="11"/>
  <c r="J12" i="11"/>
  <c r="I12" i="11"/>
  <c r="C74" i="10" s="1"/>
  <c r="F12" i="11"/>
  <c r="C73" i="10" s="1"/>
  <c r="K11" i="11"/>
  <c r="J11" i="11"/>
  <c r="I11" i="11"/>
  <c r="L10" i="11"/>
  <c r="G10" i="11"/>
  <c r="N152" i="10"/>
  <c r="J151" i="10"/>
  <c r="H151" i="10"/>
  <c r="G151" i="10"/>
  <c r="O150" i="10"/>
  <c r="O152" i="10" s="1"/>
  <c r="N150" i="10"/>
  <c r="N151" i="10" s="1"/>
  <c r="M150" i="10"/>
  <c r="J144" i="10"/>
  <c r="H144" i="10"/>
  <c r="G144" i="10"/>
  <c r="O143" i="10"/>
  <c r="O144" i="10" s="1"/>
  <c r="N143" i="10"/>
  <c r="N144" i="10" s="1"/>
  <c r="M143" i="10"/>
  <c r="L142" i="10"/>
  <c r="L149" i="10" s="1"/>
  <c r="K142" i="10"/>
  <c r="K149" i="10" s="1"/>
  <c r="D142" i="10"/>
  <c r="D149" i="10" s="1"/>
  <c r="L141" i="10"/>
  <c r="L148" i="10" s="1"/>
  <c r="K141" i="10"/>
  <c r="K148" i="10" s="1"/>
  <c r="O138" i="10"/>
  <c r="N138" i="10"/>
  <c r="M138" i="10"/>
  <c r="L138" i="10"/>
  <c r="K138" i="10"/>
  <c r="J138" i="10"/>
  <c r="I138" i="10"/>
  <c r="H138" i="10"/>
  <c r="G138" i="10"/>
  <c r="F138" i="10"/>
  <c r="E138" i="10"/>
  <c r="D138" i="10"/>
  <c r="C138" i="10"/>
  <c r="N134" i="10"/>
  <c r="N133" i="10"/>
  <c r="O132" i="10"/>
  <c r="N132" i="10"/>
  <c r="M132" i="10"/>
  <c r="M133" i="10" s="1"/>
  <c r="L132" i="10"/>
  <c r="H132" i="10"/>
  <c r="H134" i="10" s="1"/>
  <c r="E131" i="10"/>
  <c r="E130" i="10"/>
  <c r="M127" i="10"/>
  <c r="L127" i="10"/>
  <c r="N126" i="10"/>
  <c r="O125" i="10"/>
  <c r="N125" i="10"/>
  <c r="N127" i="10" s="1"/>
  <c r="M125" i="10"/>
  <c r="M126" i="10" s="1"/>
  <c r="L125" i="10"/>
  <c r="L126" i="10" s="1"/>
  <c r="H125" i="10"/>
  <c r="H127" i="10" s="1"/>
  <c r="O120" i="10"/>
  <c r="N120" i="10"/>
  <c r="M120" i="10"/>
  <c r="L120" i="10"/>
  <c r="K120" i="10"/>
  <c r="J120" i="10"/>
  <c r="I120" i="10"/>
  <c r="H120" i="10"/>
  <c r="G120" i="10"/>
  <c r="F120" i="10"/>
  <c r="E120" i="10"/>
  <c r="D120" i="10"/>
  <c r="C120" i="10"/>
  <c r="F101" i="10"/>
  <c r="F113" i="10" s="1"/>
  <c r="D101" i="10"/>
  <c r="D113" i="10" s="1"/>
  <c r="L97" i="10"/>
  <c r="L109" i="10" s="1"/>
  <c r="K97" i="10"/>
  <c r="K109" i="10" s="1"/>
  <c r="I97" i="10"/>
  <c r="I109" i="10" s="1"/>
  <c r="F97" i="10"/>
  <c r="F109" i="10" s="1"/>
  <c r="D97" i="10"/>
  <c r="O92" i="10"/>
  <c r="N92" i="10"/>
  <c r="M92" i="10"/>
  <c r="L92" i="10"/>
  <c r="K92" i="10"/>
  <c r="J92" i="10"/>
  <c r="I92" i="10"/>
  <c r="H92" i="10"/>
  <c r="G92" i="10"/>
  <c r="F92" i="10"/>
  <c r="E92" i="10"/>
  <c r="D92" i="10"/>
  <c r="C92" i="10"/>
  <c r="N86" i="10"/>
  <c r="J86" i="10"/>
  <c r="H86" i="10"/>
  <c r="G86" i="10"/>
  <c r="O85" i="10"/>
  <c r="O86" i="10" s="1"/>
  <c r="N85" i="10"/>
  <c r="M85" i="10"/>
  <c r="M86" i="10" s="1"/>
  <c r="L84" i="10"/>
  <c r="K84" i="10"/>
  <c r="D84" i="10"/>
  <c r="Q84" i="10" s="1"/>
  <c r="L83" i="10"/>
  <c r="K83" i="10"/>
  <c r="I83" i="10"/>
  <c r="O81" i="10"/>
  <c r="N81" i="10"/>
  <c r="M81" i="10"/>
  <c r="L81" i="10"/>
  <c r="K81" i="10"/>
  <c r="J81" i="10"/>
  <c r="I81" i="10"/>
  <c r="H81" i="10"/>
  <c r="G81" i="10"/>
  <c r="F81" i="10"/>
  <c r="E81" i="10"/>
  <c r="D81" i="10"/>
  <c r="C81" i="10"/>
  <c r="O77" i="10"/>
  <c r="O76" i="10"/>
  <c r="N76" i="10"/>
  <c r="N77" i="10" s="1"/>
  <c r="M76" i="10"/>
  <c r="M77" i="10" s="1"/>
  <c r="L76" i="10"/>
  <c r="L77" i="10" s="1"/>
  <c r="H76" i="10"/>
  <c r="H77" i="10" s="1"/>
  <c r="I75" i="10"/>
  <c r="J74" i="10"/>
  <c r="J73" i="10"/>
  <c r="E73" i="10"/>
  <c r="E76" i="10" s="1"/>
  <c r="O72" i="10"/>
  <c r="N72" i="10"/>
  <c r="M72" i="10"/>
  <c r="L72" i="10"/>
  <c r="K72" i="10"/>
  <c r="J72" i="10"/>
  <c r="I72" i="10"/>
  <c r="H72" i="10"/>
  <c r="G72" i="10"/>
  <c r="F72" i="10"/>
  <c r="E72" i="10"/>
  <c r="D72" i="10"/>
  <c r="C72" i="10"/>
  <c r="E66" i="10"/>
  <c r="A20" i="10"/>
  <c r="D15" i="10"/>
  <c r="E14" i="10"/>
  <c r="B14" i="10"/>
  <c r="D12" i="10"/>
  <c r="D9" i="10"/>
  <c r="D8" i="10"/>
  <c r="C8" i="10"/>
  <c r="G3" i="10"/>
  <c r="G44" i="4"/>
  <c r="C44" i="4"/>
  <c r="C118" i="4"/>
  <c r="D149" i="4"/>
  <c r="D17" i="10" l="1"/>
  <c r="H133" i="10"/>
  <c r="N145" i="10"/>
  <c r="O145" i="10"/>
  <c r="G50" i="11"/>
  <c r="F299" i="11"/>
  <c r="B15" i="10" s="1"/>
  <c r="L30" i="11"/>
  <c r="L111" i="11"/>
  <c r="L147" i="11"/>
  <c r="I13" i="11"/>
  <c r="I309" i="11" s="1"/>
  <c r="M344" i="11"/>
  <c r="Q344" i="11" s="1"/>
  <c r="M322" i="11"/>
  <c r="L344" i="11"/>
  <c r="L322" i="11"/>
  <c r="M44" i="11"/>
  <c r="O44" i="11" s="1"/>
  <c r="M68" i="11"/>
  <c r="G75" i="10"/>
  <c r="L167" i="11"/>
  <c r="F293" i="11"/>
  <c r="B9" i="10" s="1"/>
  <c r="L124" i="11"/>
  <c r="L131" i="11"/>
  <c r="M89" i="11"/>
  <c r="O89" i="11" s="1"/>
  <c r="M93" i="11"/>
  <c r="L99" i="11"/>
  <c r="M99" i="11" s="1"/>
  <c r="F278" i="11"/>
  <c r="M210" i="11"/>
  <c r="M212" i="11" s="1"/>
  <c r="I85" i="11"/>
  <c r="I336" i="11" s="1"/>
  <c r="L71" i="11"/>
  <c r="F84" i="10" s="1"/>
  <c r="L43" i="11"/>
  <c r="F140" i="10"/>
  <c r="F147" i="10" s="1"/>
  <c r="L48" i="11"/>
  <c r="L63" i="11"/>
  <c r="F73" i="11"/>
  <c r="L163" i="11"/>
  <c r="G74" i="10"/>
  <c r="F83" i="10"/>
  <c r="M26" i="11"/>
  <c r="E30" i="10" s="1"/>
  <c r="E46" i="10" s="1"/>
  <c r="K32" i="11"/>
  <c r="L66" i="11"/>
  <c r="M66" i="11" s="1"/>
  <c r="O66" i="11" s="1"/>
  <c r="S66" i="11" s="1"/>
  <c r="M90" i="11"/>
  <c r="Q90" i="11" s="1"/>
  <c r="L123" i="11"/>
  <c r="J165" i="11"/>
  <c r="M181" i="11"/>
  <c r="M182" i="11" s="1"/>
  <c r="L30" i="10" s="1"/>
  <c r="L46" i="10" s="1"/>
  <c r="F195" i="11"/>
  <c r="F340" i="11" s="1"/>
  <c r="L100" i="11"/>
  <c r="K224" i="11"/>
  <c r="M54" i="11"/>
  <c r="O54" i="11" s="1"/>
  <c r="M199" i="11"/>
  <c r="M200" i="11" s="1"/>
  <c r="M30" i="10" s="1"/>
  <c r="K22" i="11"/>
  <c r="I41" i="11"/>
  <c r="E83" i="10" s="1"/>
  <c r="L61" i="11"/>
  <c r="M61" i="11" s="1"/>
  <c r="F24" i="10" s="1"/>
  <c r="F40" i="10" s="1"/>
  <c r="I116" i="11"/>
  <c r="M206" i="11"/>
  <c r="M208" i="11" s="1"/>
  <c r="L12" i="11"/>
  <c r="C75" i="10" s="1"/>
  <c r="L59" i="11"/>
  <c r="K148" i="11"/>
  <c r="J41" i="11"/>
  <c r="M231" i="11"/>
  <c r="M233" i="11" s="1"/>
  <c r="M243" i="11"/>
  <c r="M245" i="11" s="1"/>
  <c r="I224" i="11"/>
  <c r="I341" i="11" s="1"/>
  <c r="I123" i="10"/>
  <c r="I130" i="10" s="1"/>
  <c r="M167" i="11"/>
  <c r="O167" i="11" s="1"/>
  <c r="L190" i="11"/>
  <c r="L191" i="11" s="1"/>
  <c r="Q73" i="10"/>
  <c r="Q76" i="10" s="1"/>
  <c r="M58" i="11"/>
  <c r="M64" i="11"/>
  <c r="G124" i="10"/>
  <c r="G131" i="10" s="1"/>
  <c r="J136" i="11"/>
  <c r="M100" i="11"/>
  <c r="O100" i="11" s="1"/>
  <c r="J116" i="11"/>
  <c r="L116" i="11" s="1"/>
  <c r="K154" i="11"/>
  <c r="L153" i="11"/>
  <c r="L158" i="11" s="1"/>
  <c r="M158" i="11" s="1"/>
  <c r="M168" i="11"/>
  <c r="O168" i="11" s="1"/>
  <c r="Q224" i="11"/>
  <c r="Q319" i="11" s="1"/>
  <c r="L134" i="11"/>
  <c r="M134" i="11" s="1"/>
  <c r="L146" i="11"/>
  <c r="L168" i="11"/>
  <c r="L200" i="11"/>
  <c r="F165" i="11"/>
  <c r="K140" i="10" s="1"/>
  <c r="G195" i="11"/>
  <c r="G340" i="11" s="1"/>
  <c r="Q250" i="11"/>
  <c r="Q320" i="11" s="1"/>
  <c r="D123" i="10"/>
  <c r="D130" i="10" s="1"/>
  <c r="M10" i="11"/>
  <c r="O10" i="11" s="1"/>
  <c r="L19" i="11"/>
  <c r="D75" i="10" s="1"/>
  <c r="D76" i="10" s="1"/>
  <c r="K69" i="11"/>
  <c r="M97" i="11"/>
  <c r="I29" i="10" s="1"/>
  <c r="I45" i="10" s="1"/>
  <c r="I112" i="11"/>
  <c r="L118" i="11"/>
  <c r="J224" i="11"/>
  <c r="L248" i="11"/>
  <c r="L40" i="11"/>
  <c r="M40" i="11" s="1"/>
  <c r="K126" i="11"/>
  <c r="L18" i="11"/>
  <c r="M18" i="11" s="1"/>
  <c r="J112" i="11"/>
  <c r="M202" i="11"/>
  <c r="M204" i="11" s="1"/>
  <c r="F250" i="11"/>
  <c r="F320" i="11" s="1"/>
  <c r="J13" i="11"/>
  <c r="L45" i="11"/>
  <c r="M45" i="11" s="1"/>
  <c r="O45" i="11" s="1"/>
  <c r="L11" i="11"/>
  <c r="I105" i="11"/>
  <c r="L135" i="11"/>
  <c r="M135" i="11" s="1"/>
  <c r="J30" i="10" s="1"/>
  <c r="J46" i="10" s="1"/>
  <c r="L152" i="11"/>
  <c r="M152" i="11" s="1"/>
  <c r="O152" i="11" s="1"/>
  <c r="L101" i="11"/>
  <c r="L104" i="11"/>
  <c r="L109" i="11"/>
  <c r="I142" i="10" s="1"/>
  <c r="I149" i="10" s="1"/>
  <c r="L121" i="11"/>
  <c r="M121" i="11" s="1"/>
  <c r="O121" i="11" s="1"/>
  <c r="S121" i="11" s="1"/>
  <c r="M163" i="11"/>
  <c r="O163" i="11" s="1"/>
  <c r="L140" i="10"/>
  <c r="L143" i="10" s="1"/>
  <c r="G122" i="10"/>
  <c r="G129" i="10" s="1"/>
  <c r="K41" i="11"/>
  <c r="F105" i="11"/>
  <c r="K165" i="11"/>
  <c r="J176" i="11"/>
  <c r="L237" i="11"/>
  <c r="G255" i="11"/>
  <c r="G273" i="11" s="1"/>
  <c r="E8" i="13"/>
  <c r="M17" i="11"/>
  <c r="F295" i="11"/>
  <c r="B11" i="10" s="1"/>
  <c r="E140" i="10"/>
  <c r="E147" i="10" s="1"/>
  <c r="L46" i="11"/>
  <c r="M46" i="11" s="1"/>
  <c r="O46" i="11" s="1"/>
  <c r="S46" i="11" s="1"/>
  <c r="H59" i="11"/>
  <c r="H74" i="11" s="1"/>
  <c r="H334" i="11" s="1"/>
  <c r="I73" i="11"/>
  <c r="M83" i="11"/>
  <c r="H24" i="10" s="1"/>
  <c r="H40" i="10" s="1"/>
  <c r="M94" i="11"/>
  <c r="O94" i="11" s="1"/>
  <c r="S94" i="11" s="1"/>
  <c r="L102" i="11"/>
  <c r="L125" i="11"/>
  <c r="L143" i="11"/>
  <c r="I148" i="11"/>
  <c r="L161" i="11"/>
  <c r="Q195" i="11"/>
  <c r="Q318" i="11" s="1"/>
  <c r="F224" i="11"/>
  <c r="F341" i="11" s="1"/>
  <c r="Q273" i="11"/>
  <c r="Q321" i="11" s="1"/>
  <c r="I76" i="10"/>
  <c r="L36" i="11"/>
  <c r="M36" i="11" s="1"/>
  <c r="L110" i="11"/>
  <c r="L188" i="11"/>
  <c r="M193" i="11"/>
  <c r="G249" i="11"/>
  <c r="G250" i="11" s="1"/>
  <c r="G342" i="11" s="1"/>
  <c r="M107" i="11"/>
  <c r="K112" i="11"/>
  <c r="J122" i="10"/>
  <c r="J129" i="10" s="1"/>
  <c r="L150" i="11"/>
  <c r="M150" i="11" s="1"/>
  <c r="O150" i="11" s="1"/>
  <c r="L169" i="11"/>
  <c r="M169" i="11" s="1"/>
  <c r="O199" i="11"/>
  <c r="S199" i="11" s="1"/>
  <c r="S200" i="11" s="1"/>
  <c r="M115" i="11"/>
  <c r="L122" i="11"/>
  <c r="M122" i="11" s="1"/>
  <c r="L174" i="11"/>
  <c r="M174" i="11" s="1"/>
  <c r="O174" i="11" s="1"/>
  <c r="M239" i="11"/>
  <c r="M241" i="11" s="1"/>
  <c r="K176" i="11"/>
  <c r="L37" i="11"/>
  <c r="M37" i="11" s="1"/>
  <c r="O37" i="11" s="1"/>
  <c r="K49" i="11"/>
  <c r="O91" i="11"/>
  <c r="S91" i="11" s="1"/>
  <c r="L103" i="11"/>
  <c r="M103" i="11" s="1"/>
  <c r="Q103" i="11" s="1"/>
  <c r="I122" i="10"/>
  <c r="I129" i="10" s="1"/>
  <c r="I136" i="11"/>
  <c r="I316" i="11" s="1"/>
  <c r="L133" i="11"/>
  <c r="M133" i="11" s="1"/>
  <c r="M142" i="11"/>
  <c r="O142" i="11" s="1"/>
  <c r="S142" i="11" s="1"/>
  <c r="L162" i="11"/>
  <c r="M56" i="11"/>
  <c r="O56" i="11" s="1"/>
  <c r="S56" i="11" s="1"/>
  <c r="K13" i="11"/>
  <c r="L170" i="11"/>
  <c r="M170" i="11" s="1"/>
  <c r="O170" i="11" s="1"/>
  <c r="I195" i="11"/>
  <c r="K195" i="11"/>
  <c r="Q142" i="10"/>
  <c r="L21" i="11"/>
  <c r="L298" i="11"/>
  <c r="H14" i="10" s="1"/>
  <c r="L95" i="11"/>
  <c r="M104" i="11"/>
  <c r="O104" i="11" s="1"/>
  <c r="K136" i="11"/>
  <c r="L175" i="11"/>
  <c r="L184" i="11"/>
  <c r="L185" i="11" s="1"/>
  <c r="O260" i="11"/>
  <c r="S260" i="11" s="1"/>
  <c r="S262" i="11" s="1"/>
  <c r="C122" i="10"/>
  <c r="C129" i="10" s="1"/>
  <c r="O235" i="11"/>
  <c r="O237" i="11" s="1"/>
  <c r="O247" i="11"/>
  <c r="S247" i="11" s="1"/>
  <c r="U247" i="11" s="1"/>
  <c r="I141" i="10"/>
  <c r="I148" i="10" s="1"/>
  <c r="G123" i="10"/>
  <c r="G125" i="10" s="1"/>
  <c r="O222" i="11"/>
  <c r="S222" i="11" s="1"/>
  <c r="T222" i="11" s="1"/>
  <c r="O31" i="11"/>
  <c r="S31" i="11" s="1"/>
  <c r="O68" i="11"/>
  <c r="S68" i="11" s="1"/>
  <c r="O272" i="11"/>
  <c r="S272" i="11" s="1"/>
  <c r="U272" i="11" s="1"/>
  <c r="F22" i="11"/>
  <c r="D122" i="10"/>
  <c r="M34" i="11"/>
  <c r="F50" i="11"/>
  <c r="M151" i="10"/>
  <c r="M152" i="10"/>
  <c r="O126" i="10"/>
  <c r="O127" i="10"/>
  <c r="M144" i="10"/>
  <c r="M145" i="10"/>
  <c r="C124" i="10"/>
  <c r="I297" i="11"/>
  <c r="E13" i="10" s="1"/>
  <c r="I294" i="11"/>
  <c r="E10" i="10" s="1"/>
  <c r="O64" i="11"/>
  <c r="E129" i="10"/>
  <c r="E132" i="10" s="1"/>
  <c r="L73" i="11"/>
  <c r="G333" i="11"/>
  <c r="G311" i="11"/>
  <c r="M43" i="11"/>
  <c r="I49" i="11"/>
  <c r="L133" i="10"/>
  <c r="L134" i="10"/>
  <c r="G332" i="11"/>
  <c r="G310" i="11"/>
  <c r="I295" i="11"/>
  <c r="E11" i="10" s="1"/>
  <c r="D141" i="10"/>
  <c r="D83" i="10"/>
  <c r="M20" i="11"/>
  <c r="Q149" i="10"/>
  <c r="Q309" i="11"/>
  <c r="Q32" i="11"/>
  <c r="F69" i="11"/>
  <c r="M63" i="11"/>
  <c r="O133" i="10"/>
  <c r="O134" i="10"/>
  <c r="F150" i="10"/>
  <c r="I32" i="11"/>
  <c r="O58" i="11"/>
  <c r="O135" i="11"/>
  <c r="M134" i="10"/>
  <c r="H310" i="11"/>
  <c r="H332" i="11"/>
  <c r="J32" i="11"/>
  <c r="M48" i="11"/>
  <c r="M57" i="11"/>
  <c r="J69" i="11"/>
  <c r="J74" i="11" s="1"/>
  <c r="L65" i="11"/>
  <c r="L29" i="11"/>
  <c r="L32" i="11" s="1"/>
  <c r="J49" i="11"/>
  <c r="H333" i="11"/>
  <c r="H311" i="11"/>
  <c r="K73" i="11"/>
  <c r="O115" i="11"/>
  <c r="L335" i="11"/>
  <c r="L313" i="11"/>
  <c r="L39" i="11"/>
  <c r="M124" i="11"/>
  <c r="G298" i="11"/>
  <c r="C14" i="10" s="1"/>
  <c r="M27" i="11"/>
  <c r="H126" i="10"/>
  <c r="I293" i="11"/>
  <c r="E9" i="10" s="1"/>
  <c r="I22" i="11"/>
  <c r="M30" i="11"/>
  <c r="O30" i="11" s="1"/>
  <c r="S30" i="11" s="1"/>
  <c r="M102" i="11"/>
  <c r="L47" i="11"/>
  <c r="M47" i="11" s="1"/>
  <c r="O72" i="11"/>
  <c r="C76" i="10"/>
  <c r="Q97" i="10"/>
  <c r="D109" i="10"/>
  <c r="M78" i="11"/>
  <c r="F79" i="11"/>
  <c r="G73" i="10"/>
  <c r="G76" i="10" s="1"/>
  <c r="M84" i="11"/>
  <c r="Q93" i="11"/>
  <c r="O93" i="11"/>
  <c r="G13" i="11"/>
  <c r="I335" i="11"/>
  <c r="I313" i="11"/>
  <c r="O141" i="11"/>
  <c r="M101" i="11"/>
  <c r="O101" i="11" s="1"/>
  <c r="S101" i="11" s="1"/>
  <c r="M110" i="11"/>
  <c r="J126" i="11"/>
  <c r="J22" i="11"/>
  <c r="G59" i="11"/>
  <c r="G74" i="11" s="1"/>
  <c r="L336" i="11"/>
  <c r="L314" i="11"/>
  <c r="I126" i="11"/>
  <c r="H127" i="11"/>
  <c r="F292" i="11"/>
  <c r="F13" i="11"/>
  <c r="M67" i="11"/>
  <c r="M92" i="11"/>
  <c r="M114" i="11"/>
  <c r="M123" i="11"/>
  <c r="F112" i="11"/>
  <c r="M109" i="11"/>
  <c r="M111" i="11"/>
  <c r="M120" i="11"/>
  <c r="I338" i="11"/>
  <c r="M147" i="11"/>
  <c r="M125" i="11"/>
  <c r="G95" i="11"/>
  <c r="G127" i="11" s="1"/>
  <c r="O151" i="10"/>
  <c r="L299" i="11"/>
  <c r="H15" i="10" s="1"/>
  <c r="M12" i="11"/>
  <c r="H298" i="11"/>
  <c r="D14" i="10" s="1"/>
  <c r="I69" i="11"/>
  <c r="J105" i="11"/>
  <c r="K105" i="11"/>
  <c r="O214" i="11"/>
  <c r="M216" i="11"/>
  <c r="F154" i="11"/>
  <c r="M164" i="11"/>
  <c r="O268" i="11"/>
  <c r="M270" i="11"/>
  <c r="M255" i="11"/>
  <c r="M273" i="11" s="1"/>
  <c r="O254" i="11"/>
  <c r="J154" i="11"/>
  <c r="M188" i="11"/>
  <c r="O187" i="11"/>
  <c r="L343" i="11"/>
  <c r="L321" i="11"/>
  <c r="G297" i="11"/>
  <c r="C13" i="10" s="1"/>
  <c r="C17" i="10" s="1"/>
  <c r="I165" i="11"/>
  <c r="G341" i="11"/>
  <c r="G319" i="11"/>
  <c r="L300" i="11"/>
  <c r="L249" i="11"/>
  <c r="M248" i="11"/>
  <c r="O248" i="11" s="1"/>
  <c r="O276" i="11"/>
  <c r="H297" i="11"/>
  <c r="D13" i="10" s="1"/>
  <c r="I154" i="11"/>
  <c r="L151" i="11"/>
  <c r="L156" i="11" s="1"/>
  <c r="M156" i="11" s="1"/>
  <c r="O193" i="11"/>
  <c r="M194" i="11"/>
  <c r="L29" i="10" s="1"/>
  <c r="L45" i="10" s="1"/>
  <c r="G321" i="11"/>
  <c r="G343" i="11"/>
  <c r="G316" i="11"/>
  <c r="G338" i="11"/>
  <c r="G143" i="11"/>
  <c r="G177" i="11" s="1"/>
  <c r="F319" i="11"/>
  <c r="M118" i="11"/>
  <c r="F297" i="11"/>
  <c r="B13" i="10" s="1"/>
  <c r="F136" i="11"/>
  <c r="M131" i="11"/>
  <c r="H316" i="11"/>
  <c r="H338" i="11"/>
  <c r="M146" i="11"/>
  <c r="I292" i="11"/>
  <c r="F126" i="11"/>
  <c r="M140" i="11"/>
  <c r="M220" i="11"/>
  <c r="O218" i="11"/>
  <c r="L250" i="11"/>
  <c r="H309" i="11"/>
  <c r="H331" i="11"/>
  <c r="I296" i="11"/>
  <c r="E12" i="10" s="1"/>
  <c r="L119" i="11"/>
  <c r="M119" i="11" s="1"/>
  <c r="L132" i="11"/>
  <c r="J148" i="11"/>
  <c r="L145" i="11"/>
  <c r="L148" i="11" s="1"/>
  <c r="M162" i="11"/>
  <c r="M175" i="11"/>
  <c r="I318" i="11"/>
  <c r="I340" i="11"/>
  <c r="H318" i="11"/>
  <c r="H340" i="11"/>
  <c r="J185" i="11"/>
  <c r="J195" i="11" s="1"/>
  <c r="M256" i="11"/>
  <c r="H320" i="11"/>
  <c r="L216" i="11"/>
  <c r="G277" i="11"/>
  <c r="G278" i="11" s="1"/>
  <c r="I320" i="11"/>
  <c r="F343" i="11"/>
  <c r="F318" i="11"/>
  <c r="H319" i="11"/>
  <c r="S9" i="12"/>
  <c r="T9" i="12" s="1"/>
  <c r="M264" i="11"/>
  <c r="L270" i="11"/>
  <c r="H339" i="11"/>
  <c r="H343" i="11"/>
  <c r="E9" i="13"/>
  <c r="O181" i="11"/>
  <c r="O239" i="11"/>
  <c r="I343" i="11"/>
  <c r="M228" i="11"/>
  <c r="E4" i="13"/>
  <c r="E10" i="13"/>
  <c r="L220" i="11"/>
  <c r="M262" i="11"/>
  <c r="M184" i="11"/>
  <c r="E5" i="13"/>
  <c r="E11" i="13"/>
  <c r="I176" i="11"/>
  <c r="E6" i="13"/>
  <c r="E12" i="13"/>
  <c r="I171" i="11"/>
  <c r="L173" i="11"/>
  <c r="L176" i="11" s="1"/>
  <c r="E7" i="13"/>
  <c r="F143" i="10" l="1"/>
  <c r="F145" i="10" s="1"/>
  <c r="O26" i="11"/>
  <c r="S26" i="11" s="1"/>
  <c r="I314" i="11"/>
  <c r="L147" i="10"/>
  <c r="L150" i="10" s="1"/>
  <c r="L69" i="11"/>
  <c r="I319" i="11"/>
  <c r="H280" i="11"/>
  <c r="O231" i="11"/>
  <c r="S231" i="11" s="1"/>
  <c r="S233" i="11" s="1"/>
  <c r="F322" i="11"/>
  <c r="F344" i="11"/>
  <c r="M153" i="11"/>
  <c r="O153" i="11" s="1"/>
  <c r="F30" i="10"/>
  <c r="F46" i="10" s="1"/>
  <c r="M19" i="11"/>
  <c r="O19" i="11" s="1"/>
  <c r="S19" i="11" s="1"/>
  <c r="O243" i="11"/>
  <c r="I331" i="11"/>
  <c r="C30" i="10"/>
  <c r="C46" i="10" s="1"/>
  <c r="G344" i="11"/>
  <c r="G322" i="11"/>
  <c r="O97" i="11"/>
  <c r="S97" i="11" s="1"/>
  <c r="U97" i="11" s="1"/>
  <c r="L13" i="11"/>
  <c r="L195" i="11"/>
  <c r="T247" i="11"/>
  <c r="F142" i="10"/>
  <c r="F149" i="10" s="1"/>
  <c r="K74" i="11"/>
  <c r="D124" i="10"/>
  <c r="D131" i="10" s="1"/>
  <c r="F342" i="11"/>
  <c r="E141" i="10"/>
  <c r="E148" i="10" s="1"/>
  <c r="L112" i="11"/>
  <c r="K177" i="11"/>
  <c r="M71" i="11"/>
  <c r="I132" i="10"/>
  <c r="G280" i="11"/>
  <c r="O210" i="11"/>
  <c r="O212" i="11" s="1"/>
  <c r="K127" i="11"/>
  <c r="O90" i="11"/>
  <c r="M11" i="11"/>
  <c r="O206" i="11"/>
  <c r="I127" i="11"/>
  <c r="M190" i="11"/>
  <c r="M191" i="11" s="1"/>
  <c r="S235" i="11"/>
  <c r="S237" i="11" s="1"/>
  <c r="M13" i="11"/>
  <c r="M331" i="11" s="1"/>
  <c r="L136" i="11"/>
  <c r="L338" i="11" s="1"/>
  <c r="O202" i="11"/>
  <c r="O204" i="11" s="1"/>
  <c r="J177" i="11"/>
  <c r="O233" i="11"/>
  <c r="K50" i="11"/>
  <c r="M132" i="11"/>
  <c r="O132" i="11" s="1"/>
  <c r="M171" i="11"/>
  <c r="K27" i="10" s="1"/>
  <c r="K43" i="10" s="1"/>
  <c r="K143" i="10"/>
  <c r="K144" i="10" s="1"/>
  <c r="K147" i="10"/>
  <c r="K150" i="10" s="1"/>
  <c r="K152" i="10" s="1"/>
  <c r="O61" i="11"/>
  <c r="S61" i="11" s="1"/>
  <c r="L296" i="11"/>
  <c r="H12" i="10" s="1"/>
  <c r="E25" i="10"/>
  <c r="E41" i="10" s="1"/>
  <c r="L22" i="11"/>
  <c r="L332" i="11" s="1"/>
  <c r="F177" i="11"/>
  <c r="F339" i="11" s="1"/>
  <c r="O83" i="11"/>
  <c r="S83" i="11" s="1"/>
  <c r="I125" i="10"/>
  <c r="G318" i="11"/>
  <c r="L105" i="11"/>
  <c r="M29" i="11"/>
  <c r="O29" i="11" s="1"/>
  <c r="O103" i="11"/>
  <c r="L295" i="11"/>
  <c r="H11" i="10" s="1"/>
  <c r="L294" i="11"/>
  <c r="H10" i="10" s="1"/>
  <c r="T272" i="11"/>
  <c r="V272" i="11" s="1"/>
  <c r="H312" i="11"/>
  <c r="L165" i="11"/>
  <c r="O200" i="11"/>
  <c r="J28" i="10"/>
  <c r="J44" i="10" s="1"/>
  <c r="O133" i="11"/>
  <c r="S133" i="11" s="1"/>
  <c r="U133" i="11" s="1"/>
  <c r="L310" i="11"/>
  <c r="M21" i="11"/>
  <c r="O107" i="11"/>
  <c r="S107" i="11" s="1"/>
  <c r="I23" i="10"/>
  <c r="I39" i="10" s="1"/>
  <c r="M299" i="11"/>
  <c r="S30" i="10" s="1"/>
  <c r="G320" i="11"/>
  <c r="F127" i="11"/>
  <c r="O17" i="11"/>
  <c r="S17" i="11" s="1"/>
  <c r="U17" i="11" s="1"/>
  <c r="D30" i="10"/>
  <c r="D46" i="10" s="1"/>
  <c r="I50" i="11"/>
  <c r="I333" i="11" s="1"/>
  <c r="M161" i="11"/>
  <c r="O161" i="11" s="1"/>
  <c r="G301" i="11"/>
  <c r="M151" i="11"/>
  <c r="O151" i="11" s="1"/>
  <c r="L171" i="11"/>
  <c r="M95" i="11"/>
  <c r="I30" i="10" s="1"/>
  <c r="I46" i="10" s="1"/>
  <c r="F144" i="10"/>
  <c r="O262" i="11"/>
  <c r="U222" i="11"/>
  <c r="V222" i="11" s="1"/>
  <c r="Q122" i="10"/>
  <c r="Q125" i="10" s="1"/>
  <c r="G130" i="10"/>
  <c r="G132" i="10" s="1"/>
  <c r="G315" i="11"/>
  <c r="G337" i="11"/>
  <c r="G334" i="11"/>
  <c r="G312" i="11"/>
  <c r="F75" i="10"/>
  <c r="F124" i="10"/>
  <c r="F131" i="10" s="1"/>
  <c r="L74" i="11"/>
  <c r="O119" i="11"/>
  <c r="Q119" i="11"/>
  <c r="O184" i="11"/>
  <c r="M185" i="11"/>
  <c r="L24" i="10" s="1"/>
  <c r="M229" i="11"/>
  <c r="O228" i="11"/>
  <c r="O146" i="11"/>
  <c r="S90" i="11"/>
  <c r="M49" i="11"/>
  <c r="O43" i="11"/>
  <c r="O245" i="11"/>
  <c r="S243" i="11"/>
  <c r="S245" i="11" s="1"/>
  <c r="L342" i="11"/>
  <c r="L320" i="11"/>
  <c r="O67" i="11"/>
  <c r="J127" i="11"/>
  <c r="Q73" i="11"/>
  <c r="S72" i="11"/>
  <c r="F151" i="10"/>
  <c r="F152" i="10"/>
  <c r="I177" i="11"/>
  <c r="O220" i="11"/>
  <c r="S218" i="11"/>
  <c r="S220" i="11" s="1"/>
  <c r="S174" i="11"/>
  <c r="O194" i="11"/>
  <c r="S193" i="11"/>
  <c r="S194" i="11" s="1"/>
  <c r="O188" i="11"/>
  <c r="S187" i="11"/>
  <c r="S188" i="11" s="1"/>
  <c r="F74" i="10"/>
  <c r="F123" i="10"/>
  <c r="O110" i="11"/>
  <c r="I82" i="10"/>
  <c r="I85" i="10" s="1"/>
  <c r="S93" i="11"/>
  <c r="L41" i="11"/>
  <c r="M39" i="11"/>
  <c r="I74" i="11"/>
  <c r="U26" i="11"/>
  <c r="T26" i="11"/>
  <c r="O71" i="11"/>
  <c r="F26" i="10"/>
  <c r="F42" i="10" s="1"/>
  <c r="M73" i="11"/>
  <c r="F82" i="10"/>
  <c r="F85" i="10" s="1"/>
  <c r="O241" i="11"/>
  <c r="S239" i="11"/>
  <c r="S241" i="11" s="1"/>
  <c r="S163" i="11"/>
  <c r="L318" i="11"/>
  <c r="L340" i="11"/>
  <c r="L331" i="11"/>
  <c r="L309" i="11"/>
  <c r="O120" i="11"/>
  <c r="Q120" i="11"/>
  <c r="F301" i="11"/>
  <c r="B8" i="10"/>
  <c r="B17" i="10" s="1"/>
  <c r="M105" i="11"/>
  <c r="I24" i="10" s="1"/>
  <c r="O99" i="11"/>
  <c r="M65" i="11"/>
  <c r="O11" i="11"/>
  <c r="S11" i="11" s="1"/>
  <c r="C24" i="10"/>
  <c r="L292" i="11"/>
  <c r="F309" i="11"/>
  <c r="F331" i="11"/>
  <c r="O84" i="11"/>
  <c r="H28" i="10"/>
  <c r="O47" i="11"/>
  <c r="Q47" i="11"/>
  <c r="Q102" i="11"/>
  <c r="O102" i="11"/>
  <c r="O162" i="11"/>
  <c r="M224" i="11"/>
  <c r="M145" i="11"/>
  <c r="K74" i="10"/>
  <c r="O182" i="11"/>
  <c r="S181" i="11"/>
  <c r="S182" i="11" s="1"/>
  <c r="O175" i="11"/>
  <c r="O134" i="11"/>
  <c r="J27" i="10"/>
  <c r="J43" i="10" s="1"/>
  <c r="S161" i="11"/>
  <c r="F316" i="11"/>
  <c r="F338" i="11"/>
  <c r="G317" i="11"/>
  <c r="G339" i="11"/>
  <c r="O255" i="11"/>
  <c r="S254" i="11"/>
  <c r="S255" i="11" s="1"/>
  <c r="S170" i="11"/>
  <c r="O111" i="11"/>
  <c r="S111" i="11" s="1"/>
  <c r="H315" i="11"/>
  <c r="H337" i="11"/>
  <c r="H345" i="11" s="1"/>
  <c r="S150" i="11"/>
  <c r="M79" i="11"/>
  <c r="G23" i="10"/>
  <c r="O78" i="11"/>
  <c r="S152" i="11"/>
  <c r="O63" i="11"/>
  <c r="L152" i="10"/>
  <c r="L151" i="10"/>
  <c r="S268" i="11"/>
  <c r="S270" i="11" s="1"/>
  <c r="O270" i="11"/>
  <c r="S214" i="11"/>
  <c r="S216" i="11" s="1"/>
  <c r="O216" i="11"/>
  <c r="C125" i="10"/>
  <c r="C131" i="10"/>
  <c r="O131" i="11"/>
  <c r="J24" i="10"/>
  <c r="J40" i="10" s="1"/>
  <c r="O169" i="11"/>
  <c r="S169" i="11" s="1"/>
  <c r="O12" i="11"/>
  <c r="S12" i="11" s="1"/>
  <c r="C23" i="10"/>
  <c r="C77" i="10" s="1"/>
  <c r="L126" i="11"/>
  <c r="F335" i="11"/>
  <c r="F313" i="11"/>
  <c r="J50" i="11"/>
  <c r="L293" i="11"/>
  <c r="H9" i="10" s="1"/>
  <c r="L145" i="10"/>
  <c r="L144" i="10"/>
  <c r="S167" i="11"/>
  <c r="J75" i="10"/>
  <c r="J76" i="10" s="1"/>
  <c r="J124" i="10"/>
  <c r="J131" i="10" s="1"/>
  <c r="L154" i="11"/>
  <c r="H301" i="11"/>
  <c r="M112" i="11"/>
  <c r="I26" i="10" s="1"/>
  <c r="I42" i="10" s="1"/>
  <c r="O109" i="11"/>
  <c r="I315" i="11"/>
  <c r="I337" i="11"/>
  <c r="M154" i="11"/>
  <c r="K23" i="10" s="1"/>
  <c r="O40" i="11"/>
  <c r="M85" i="11"/>
  <c r="I310" i="11"/>
  <c r="I332" i="11"/>
  <c r="L297" i="11"/>
  <c r="H13" i="10" s="1"/>
  <c r="S135" i="11"/>
  <c r="F122" i="10"/>
  <c r="F74" i="11"/>
  <c r="F280" i="11" s="1"/>
  <c r="F73" i="10"/>
  <c r="S104" i="11"/>
  <c r="S103" i="11"/>
  <c r="S44" i="11"/>
  <c r="F333" i="11"/>
  <c r="F311" i="11"/>
  <c r="O164" i="11"/>
  <c r="S164" i="11" s="1"/>
  <c r="S168" i="11"/>
  <c r="O18" i="11"/>
  <c r="D24" i="10"/>
  <c r="D40" i="10" s="1"/>
  <c r="Q85" i="11"/>
  <c r="Q314" i="11" s="1"/>
  <c r="S115" i="11"/>
  <c r="Q116" i="11"/>
  <c r="L316" i="11"/>
  <c r="L49" i="11"/>
  <c r="S54" i="11"/>
  <c r="E23" i="10"/>
  <c r="O34" i="11"/>
  <c r="S34" i="11" s="1"/>
  <c r="M126" i="11"/>
  <c r="O118" i="11"/>
  <c r="K122" i="10"/>
  <c r="K73" i="10"/>
  <c r="S141" i="11"/>
  <c r="G309" i="11"/>
  <c r="G331" i="11"/>
  <c r="Q109" i="10"/>
  <c r="D82" i="10"/>
  <c r="O20" i="11"/>
  <c r="S20" i="11" s="1"/>
  <c r="D26" i="10"/>
  <c r="S64" i="11"/>
  <c r="D129" i="10"/>
  <c r="O140" i="11"/>
  <c r="O143" i="11" s="1"/>
  <c r="M143" i="11"/>
  <c r="K30" i="10" s="1"/>
  <c r="K46" i="10" s="1"/>
  <c r="U233" i="11"/>
  <c r="T233" i="11"/>
  <c r="O123" i="11"/>
  <c r="Q123" i="11"/>
  <c r="L224" i="11"/>
  <c r="U262" i="11"/>
  <c r="T262" i="11"/>
  <c r="M249" i="11"/>
  <c r="N31" i="10" s="1"/>
  <c r="M300" i="11"/>
  <c r="I16" i="10" s="1"/>
  <c r="S58" i="11"/>
  <c r="R83" i="10"/>
  <c r="Q83" i="10"/>
  <c r="Q294" i="11"/>
  <c r="O125" i="11"/>
  <c r="S125" i="11"/>
  <c r="I301" i="11"/>
  <c r="E8" i="10"/>
  <c r="E17" i="10" s="1"/>
  <c r="Q154" i="11"/>
  <c r="M116" i="11"/>
  <c r="I27" i="10" s="1"/>
  <c r="M296" i="11"/>
  <c r="O114" i="11"/>
  <c r="M298" i="11"/>
  <c r="E29" i="10"/>
  <c r="O27" i="11"/>
  <c r="S27" i="11" s="1"/>
  <c r="D23" i="10"/>
  <c r="M258" i="11"/>
  <c r="O256" i="11"/>
  <c r="O57" i="11"/>
  <c r="O59" i="11" s="1"/>
  <c r="M59" i="11"/>
  <c r="D148" i="10"/>
  <c r="Q141" i="10"/>
  <c r="R141" i="10"/>
  <c r="S45" i="11"/>
  <c r="F332" i="11"/>
  <c r="F310" i="11"/>
  <c r="M32" i="10"/>
  <c r="M46" i="10"/>
  <c r="M48" i="10" s="1"/>
  <c r="D62" i="10" s="1"/>
  <c r="F62" i="10" s="1"/>
  <c r="F315" i="11"/>
  <c r="F337" i="11"/>
  <c r="S276" i="11"/>
  <c r="O277" i="11"/>
  <c r="O278" i="11" s="1"/>
  <c r="M266" i="11"/>
  <c r="O264" i="11"/>
  <c r="L82" i="10"/>
  <c r="L85" i="10" s="1"/>
  <c r="L26" i="10"/>
  <c r="L42" i="10" s="1"/>
  <c r="U200" i="11"/>
  <c r="T200" i="11"/>
  <c r="M173" i="11"/>
  <c r="T237" i="11"/>
  <c r="U237" i="11"/>
  <c r="O122" i="11"/>
  <c r="Q122" i="11"/>
  <c r="O147" i="11"/>
  <c r="O92" i="11"/>
  <c r="S89" i="11"/>
  <c r="O124" i="11"/>
  <c r="Q124" i="11"/>
  <c r="S124" i="11" s="1"/>
  <c r="O48" i="11"/>
  <c r="S48" i="11" s="1"/>
  <c r="M32" i="11"/>
  <c r="E24" i="10" s="1"/>
  <c r="E40" i="10" s="1"/>
  <c r="M294" i="11"/>
  <c r="O36" i="11"/>
  <c r="S36" i="11" s="1"/>
  <c r="S10" i="11"/>
  <c r="K145" i="10" l="1"/>
  <c r="M295" i="11"/>
  <c r="K280" i="11"/>
  <c r="M165" i="11"/>
  <c r="O95" i="11"/>
  <c r="D125" i="10"/>
  <c r="T133" i="11"/>
  <c r="J23" i="10"/>
  <c r="J32" i="10" s="1"/>
  <c r="M136" i="11"/>
  <c r="F317" i="11"/>
  <c r="M22" i="11"/>
  <c r="M310" i="11" s="1"/>
  <c r="D34" i="10" s="1"/>
  <c r="I77" i="10"/>
  <c r="T97" i="11"/>
  <c r="I100" i="10" s="1"/>
  <c r="I112" i="10" s="1"/>
  <c r="G323" i="11"/>
  <c r="M250" i="11"/>
  <c r="L127" i="11"/>
  <c r="S210" i="11"/>
  <c r="S212" i="11" s="1"/>
  <c r="T17" i="11"/>
  <c r="M309" i="11"/>
  <c r="C34" i="10" s="1"/>
  <c r="Q25" i="10"/>
  <c r="R25" i="10"/>
  <c r="M14" i="11"/>
  <c r="K151" i="10"/>
  <c r="S202" i="11"/>
  <c r="S204" i="11" s="1"/>
  <c r="D28" i="10"/>
  <c r="D44" i="10" s="1"/>
  <c r="M297" i="11"/>
  <c r="S28" i="10" s="1"/>
  <c r="S206" i="11"/>
  <c r="S208" i="11" s="1"/>
  <c r="O208" i="11"/>
  <c r="O224" i="11" s="1"/>
  <c r="O21" i="11"/>
  <c r="S21" i="11" s="1"/>
  <c r="U21" i="11" s="1"/>
  <c r="O190" i="11"/>
  <c r="S190" i="11" s="1"/>
  <c r="S191" i="11" s="1"/>
  <c r="M292" i="11"/>
  <c r="H323" i="11"/>
  <c r="H325" i="11" s="1"/>
  <c r="H348" i="11"/>
  <c r="I15" i="10"/>
  <c r="O13" i="11"/>
  <c r="O171" i="11"/>
  <c r="J280" i="11"/>
  <c r="I311" i="11"/>
  <c r="O85" i="11"/>
  <c r="G345" i="11"/>
  <c r="G348" i="11" s="1"/>
  <c r="F86" i="10"/>
  <c r="U107" i="11"/>
  <c r="T107" i="11"/>
  <c r="O165" i="11"/>
  <c r="O154" i="11"/>
  <c r="R122" i="10"/>
  <c r="S120" i="11"/>
  <c r="Q105" i="11"/>
  <c r="S100" i="11"/>
  <c r="I14" i="10"/>
  <c r="S29" i="10"/>
  <c r="U61" i="11"/>
  <c r="T61" i="11"/>
  <c r="D85" i="10"/>
  <c r="D86" i="10" s="1"/>
  <c r="K129" i="10"/>
  <c r="Q171" i="11"/>
  <c r="Q296" i="11" s="1"/>
  <c r="U135" i="11"/>
  <c r="T135" i="11"/>
  <c r="H32" i="10"/>
  <c r="H44" i="10"/>
  <c r="H48" i="10" s="1"/>
  <c r="D57" i="10" s="1"/>
  <c r="F57" i="10" s="1"/>
  <c r="O105" i="11"/>
  <c r="S99" i="11"/>
  <c r="T220" i="11"/>
  <c r="S224" i="11"/>
  <c r="S319" i="11" s="1"/>
  <c r="U220" i="11"/>
  <c r="J99" i="10"/>
  <c r="J111" i="10" s="1"/>
  <c r="V133" i="11"/>
  <c r="S114" i="11"/>
  <c r="S116" i="11" s="1"/>
  <c r="O116" i="11"/>
  <c r="S26" i="10"/>
  <c r="I11" i="10"/>
  <c r="O126" i="11"/>
  <c r="S118" i="11"/>
  <c r="L50" i="11"/>
  <c r="O136" i="11"/>
  <c r="K82" i="10"/>
  <c r="K85" i="10" s="1"/>
  <c r="K26" i="10"/>
  <c r="K42" i="10" s="1"/>
  <c r="S84" i="11"/>
  <c r="I40" i="10"/>
  <c r="I86" i="10"/>
  <c r="S67" i="11"/>
  <c r="S146" i="11"/>
  <c r="Q148" i="11"/>
  <c r="M148" i="11"/>
  <c r="K24" i="10" s="1"/>
  <c r="K40" i="10" s="1"/>
  <c r="O145" i="11"/>
  <c r="V17" i="11"/>
  <c r="R27" i="10"/>
  <c r="I43" i="10"/>
  <c r="Q27" i="10"/>
  <c r="O48" i="10"/>
  <c r="S131" i="11"/>
  <c r="Q136" i="11"/>
  <c r="Q316" i="11" s="1"/>
  <c r="S132" i="11"/>
  <c r="J123" i="10"/>
  <c r="S110" i="11"/>
  <c r="Q112" i="11"/>
  <c r="I140" i="10" s="1"/>
  <c r="S151" i="11"/>
  <c r="I157" i="11"/>
  <c r="L157" i="11" s="1"/>
  <c r="N30" i="10"/>
  <c r="E45" i="10"/>
  <c r="F130" i="10"/>
  <c r="Q123" i="10"/>
  <c r="I10" i="10"/>
  <c r="S25" i="10"/>
  <c r="O249" i="11"/>
  <c r="S248" i="11"/>
  <c r="S249" i="11" s="1"/>
  <c r="Q49" i="11"/>
  <c r="Q41" i="11"/>
  <c r="S40" i="11"/>
  <c r="M69" i="11"/>
  <c r="F23" i="10" s="1"/>
  <c r="S134" i="11"/>
  <c r="M319" i="11"/>
  <c r="M34" i="10" s="1"/>
  <c r="M35" i="10" s="1"/>
  <c r="M225" i="11"/>
  <c r="M341" i="11"/>
  <c r="Q341" i="11" s="1"/>
  <c r="Q74" i="10"/>
  <c r="R74" i="10"/>
  <c r="S184" i="11"/>
  <c r="S185" i="11" s="1"/>
  <c r="O185" i="11"/>
  <c r="I28" i="10"/>
  <c r="I44" i="10" s="1"/>
  <c r="M127" i="11"/>
  <c r="S228" i="11"/>
  <c r="S229" i="11" s="1"/>
  <c r="O229" i="11"/>
  <c r="V200" i="11"/>
  <c r="M101" i="10"/>
  <c r="S153" i="11"/>
  <c r="I159" i="11"/>
  <c r="L159" i="11" s="1"/>
  <c r="Q159" i="11" s="1"/>
  <c r="D39" i="10"/>
  <c r="D77" i="10"/>
  <c r="Q31" i="10"/>
  <c r="R31" i="10"/>
  <c r="N47" i="10"/>
  <c r="D132" i="10"/>
  <c r="Q129" i="10"/>
  <c r="Q132" i="10" s="1"/>
  <c r="U34" i="11"/>
  <c r="T34" i="11"/>
  <c r="K75" i="10"/>
  <c r="R75" i="10" s="1"/>
  <c r="L177" i="11"/>
  <c r="L337" i="11"/>
  <c r="L315" i="11"/>
  <c r="L301" i="11"/>
  <c r="M302" i="11" s="1"/>
  <c r="H8" i="10"/>
  <c r="H17" i="10" s="1"/>
  <c r="U188" i="11"/>
  <c r="T188" i="11"/>
  <c r="Q331" i="11"/>
  <c r="U245" i="11"/>
  <c r="T245" i="11"/>
  <c r="Q126" i="11"/>
  <c r="S119" i="11"/>
  <c r="M176" i="11"/>
  <c r="K28" i="10" s="1"/>
  <c r="K44" i="10" s="1"/>
  <c r="O173" i="11"/>
  <c r="U276" i="11"/>
  <c r="T276" i="11"/>
  <c r="S277" i="11"/>
  <c r="S278" i="11" s="1"/>
  <c r="S322" i="11" s="1"/>
  <c r="I317" i="11"/>
  <c r="I339" i="11"/>
  <c r="S294" i="11"/>
  <c r="T36" i="11"/>
  <c r="U36" i="11"/>
  <c r="C132" i="10"/>
  <c r="S63" i="11"/>
  <c r="L40" i="10"/>
  <c r="L48" i="10" s="1"/>
  <c r="D61" i="10" s="1"/>
  <c r="F61" i="10" s="1"/>
  <c r="L32" i="10"/>
  <c r="S92" i="11"/>
  <c r="S95" i="11" s="1"/>
  <c r="Q148" i="10"/>
  <c r="R148" i="10"/>
  <c r="T19" i="11"/>
  <c r="U19" i="11"/>
  <c r="V262" i="11"/>
  <c r="E39" i="10"/>
  <c r="E77" i="10"/>
  <c r="U83" i="11"/>
  <c r="T83" i="11"/>
  <c r="K39" i="10"/>
  <c r="C39" i="10"/>
  <c r="C32" i="10"/>
  <c r="U255" i="11"/>
  <c r="T255" i="11"/>
  <c r="S175" i="11"/>
  <c r="Q165" i="11"/>
  <c r="S162" i="11"/>
  <c r="S165" i="11" s="1"/>
  <c r="C40" i="10"/>
  <c r="E101" i="10"/>
  <c r="E113" i="10" s="1"/>
  <c r="V26" i="11"/>
  <c r="S27" i="10"/>
  <c r="I12" i="10"/>
  <c r="Q143" i="11"/>
  <c r="S140" i="11"/>
  <c r="S143" i="11" s="1"/>
  <c r="O258" i="11"/>
  <c r="S256" i="11"/>
  <c r="S258" i="11" s="1"/>
  <c r="F29" i="10"/>
  <c r="F45" i="10" s="1"/>
  <c r="O32" i="11"/>
  <c r="S29" i="11"/>
  <c r="S32" i="11" s="1"/>
  <c r="G325" i="11"/>
  <c r="S18" i="11"/>
  <c r="F76" i="10"/>
  <c r="F77" i="10" s="1"/>
  <c r="R73" i="10"/>
  <c r="U216" i="11"/>
  <c r="T216" i="11"/>
  <c r="V216" i="11" s="1"/>
  <c r="G39" i="10"/>
  <c r="G48" i="10" s="1"/>
  <c r="D56" i="10" s="1"/>
  <c r="F56" i="10" s="1"/>
  <c r="G32" i="10"/>
  <c r="S102" i="11"/>
  <c r="M293" i="11"/>
  <c r="I334" i="11"/>
  <c r="I312" i="11"/>
  <c r="I280" i="11"/>
  <c r="E28" i="10"/>
  <c r="E44" i="10" s="1"/>
  <c r="T10" i="11"/>
  <c r="S13" i="11"/>
  <c r="U10" i="11"/>
  <c r="M316" i="11"/>
  <c r="J34" i="10" s="1"/>
  <c r="M338" i="11"/>
  <c r="Q338" i="11" s="1"/>
  <c r="M137" i="11"/>
  <c r="M336" i="11"/>
  <c r="Q336" i="11" s="1"/>
  <c r="M314" i="11"/>
  <c r="H34" i="10" s="1"/>
  <c r="M87" i="11"/>
  <c r="M274" i="11"/>
  <c r="M343" i="11"/>
  <c r="Q343" i="11" s="1"/>
  <c r="M321" i="11"/>
  <c r="O34" i="10" s="1"/>
  <c r="J77" i="10"/>
  <c r="U12" i="11"/>
  <c r="T12" i="11"/>
  <c r="O79" i="11"/>
  <c r="S78" i="11"/>
  <c r="U182" i="11"/>
  <c r="T182" i="11"/>
  <c r="U11" i="11"/>
  <c r="T11" i="11"/>
  <c r="T194" i="11"/>
  <c r="U194" i="11"/>
  <c r="S43" i="11"/>
  <c r="O49" i="11"/>
  <c r="S147" i="11"/>
  <c r="L86" i="10"/>
  <c r="R30" i="10"/>
  <c r="L341" i="11"/>
  <c r="L319" i="11"/>
  <c r="U54" i="11"/>
  <c r="T54" i="11"/>
  <c r="S122" i="11"/>
  <c r="M195" i="11"/>
  <c r="S57" i="11"/>
  <c r="S59" i="11" s="1"/>
  <c r="S298" i="11" s="1"/>
  <c r="Q59" i="11"/>
  <c r="T27" i="11"/>
  <c r="U27" i="11"/>
  <c r="E96" i="10"/>
  <c r="S123" i="11"/>
  <c r="D42" i="10"/>
  <c r="F334" i="11"/>
  <c r="F345" i="11" s="1"/>
  <c r="F312" i="11"/>
  <c r="F323" i="11" s="1"/>
  <c r="O112" i="11"/>
  <c r="S109" i="11"/>
  <c r="S171" i="11"/>
  <c r="M335" i="11"/>
  <c r="Q335" i="11" s="1"/>
  <c r="M313" i="11"/>
  <c r="G34" i="10" s="1"/>
  <c r="M80" i="11"/>
  <c r="S47" i="11"/>
  <c r="G77" i="10"/>
  <c r="M41" i="11"/>
  <c r="E26" i="10" s="1"/>
  <c r="E42" i="10" s="1"/>
  <c r="O39" i="11"/>
  <c r="E82" i="10"/>
  <c r="Q176" i="11"/>
  <c r="Q95" i="11"/>
  <c r="S264" i="11"/>
  <c r="S266" i="11" s="1"/>
  <c r="O266" i="11"/>
  <c r="O273" i="11" s="1"/>
  <c r="T20" i="11"/>
  <c r="D140" i="10"/>
  <c r="U20" i="11"/>
  <c r="F129" i="10"/>
  <c r="F132" i="10" s="1"/>
  <c r="F125" i="10"/>
  <c r="O65" i="11"/>
  <c r="O69" i="11" s="1"/>
  <c r="O73" i="11"/>
  <c r="S71" i="11"/>
  <c r="S73" i="11" s="1"/>
  <c r="E142" i="10"/>
  <c r="E84" i="10"/>
  <c r="R84" i="10" s="1"/>
  <c r="L334" i="11"/>
  <c r="L312" i="11"/>
  <c r="D32" i="10" l="1"/>
  <c r="Q23" i="10"/>
  <c r="J39" i="10"/>
  <c r="J48" i="10" s="1"/>
  <c r="D59" i="10" s="1"/>
  <c r="F59" i="10" s="1"/>
  <c r="M23" i="11"/>
  <c r="V97" i="11"/>
  <c r="M332" i="11"/>
  <c r="Q332" i="11" s="1"/>
  <c r="O22" i="11"/>
  <c r="F325" i="11"/>
  <c r="T27" i="10"/>
  <c r="T21" i="11"/>
  <c r="T25" i="10"/>
  <c r="M74" i="11"/>
  <c r="M334" i="11" s="1"/>
  <c r="Q334" i="11" s="1"/>
  <c r="I13" i="10"/>
  <c r="S154" i="11"/>
  <c r="I8" i="10"/>
  <c r="I17" i="10" s="1"/>
  <c r="O191" i="11"/>
  <c r="O195" i="11" s="1"/>
  <c r="T208" i="11"/>
  <c r="U208" i="11"/>
  <c r="U224" i="11" s="1"/>
  <c r="U204" i="11"/>
  <c r="T204" i="11"/>
  <c r="V204" i="11" s="1"/>
  <c r="E85" i="10"/>
  <c r="E86" i="10" s="1"/>
  <c r="R24" i="10"/>
  <c r="S250" i="11"/>
  <c r="S320" i="11" s="1"/>
  <c r="S299" i="11"/>
  <c r="T191" i="11"/>
  <c r="U191" i="11"/>
  <c r="I345" i="11"/>
  <c r="I348" i="11" s="1"/>
  <c r="Q29" i="10"/>
  <c r="T29" i="10" s="1"/>
  <c r="K32" i="10"/>
  <c r="J35" i="10"/>
  <c r="G35" i="10"/>
  <c r="E48" i="10"/>
  <c r="D54" i="10" s="1"/>
  <c r="F54" i="10" s="1"/>
  <c r="M177" i="11"/>
  <c r="M178" i="11" s="1"/>
  <c r="H35" i="10"/>
  <c r="I94" i="10"/>
  <c r="V107" i="11"/>
  <c r="I323" i="11"/>
  <c r="I325" i="11" s="1"/>
  <c r="Q26" i="10"/>
  <c r="T26" i="10" s="1"/>
  <c r="U294" i="11"/>
  <c r="S105" i="11"/>
  <c r="T105" i="11" s="1"/>
  <c r="S273" i="11"/>
  <c r="S321" i="11" s="1"/>
  <c r="T270" i="11"/>
  <c r="O250" i="11"/>
  <c r="U270" i="11"/>
  <c r="Q157" i="11"/>
  <c r="K124" i="10"/>
  <c r="F348" i="11"/>
  <c r="V54" i="11"/>
  <c r="V11" i="11"/>
  <c r="C95" i="10"/>
  <c r="S309" i="11"/>
  <c r="V255" i="11"/>
  <c r="O101" i="10"/>
  <c r="V276" i="11"/>
  <c r="U165" i="11"/>
  <c r="T165" i="11"/>
  <c r="U134" i="11"/>
  <c r="T134" i="11"/>
  <c r="V61" i="11"/>
  <c r="F95" i="10"/>
  <c r="F107" i="10" s="1"/>
  <c r="U73" i="11"/>
  <c r="T73" i="11"/>
  <c r="Q140" i="10"/>
  <c r="Q143" i="10" s="1"/>
  <c r="D143" i="10"/>
  <c r="D147" i="10"/>
  <c r="R140" i="10"/>
  <c r="V10" i="11"/>
  <c r="C101" i="10"/>
  <c r="T13" i="11"/>
  <c r="E32" i="10"/>
  <c r="C35" i="10"/>
  <c r="M315" i="11"/>
  <c r="I34" i="10" s="1"/>
  <c r="M337" i="11"/>
  <c r="Q337" i="11" s="1"/>
  <c r="M128" i="11"/>
  <c r="F32" i="10"/>
  <c r="F39" i="10"/>
  <c r="F48" i="10" s="1"/>
  <c r="D55" i="10" s="1"/>
  <c r="F55" i="10" s="1"/>
  <c r="Q130" i="10"/>
  <c r="J130" i="10"/>
  <c r="J132" i="10" s="1"/>
  <c r="J125" i="10"/>
  <c r="O74" i="11"/>
  <c r="V182" i="11"/>
  <c r="L101" i="10"/>
  <c r="L113" i="10" s="1"/>
  <c r="D35" i="10"/>
  <c r="R23" i="10"/>
  <c r="I48" i="10"/>
  <c r="D58" i="10" s="1"/>
  <c r="F58" i="10" s="1"/>
  <c r="S296" i="11"/>
  <c r="U116" i="11"/>
  <c r="T116" i="11"/>
  <c r="I32" i="10"/>
  <c r="Q77" i="10"/>
  <c r="S65" i="11"/>
  <c r="S69" i="11" s="1"/>
  <c r="Q69" i="11"/>
  <c r="Q292" i="11" s="1"/>
  <c r="T171" i="11"/>
  <c r="U171" i="11"/>
  <c r="M50" i="11"/>
  <c r="M280" i="11" s="1"/>
  <c r="R129" i="10"/>
  <c r="Q295" i="11"/>
  <c r="R29" i="10"/>
  <c r="Q293" i="11"/>
  <c r="V20" i="11"/>
  <c r="O176" i="11"/>
  <c r="S173" i="11"/>
  <c r="S176" i="11" s="1"/>
  <c r="V21" i="11"/>
  <c r="D99" i="10"/>
  <c r="U40" i="11"/>
  <c r="T40" i="11"/>
  <c r="O148" i="11"/>
  <c r="S145" i="11"/>
  <c r="S148" i="11" s="1"/>
  <c r="V27" i="11"/>
  <c r="E100" i="10"/>
  <c r="S79" i="11"/>
  <c r="S313" i="11" s="1"/>
  <c r="U78" i="11"/>
  <c r="U79" i="11" s="1"/>
  <c r="T78" i="11"/>
  <c r="T154" i="11"/>
  <c r="U154" i="11"/>
  <c r="S112" i="11"/>
  <c r="D52" i="10"/>
  <c r="M113" i="10"/>
  <c r="M114" i="10" s="1"/>
  <c r="M102" i="10"/>
  <c r="U185" i="11"/>
  <c r="T185" i="11"/>
  <c r="S195" i="11"/>
  <c r="Q297" i="11"/>
  <c r="Q50" i="11"/>
  <c r="M342" i="11"/>
  <c r="Q342" i="11" s="1"/>
  <c r="M251" i="11"/>
  <c r="M320" i="11"/>
  <c r="N34" i="10" s="1"/>
  <c r="Q75" i="10"/>
  <c r="K86" i="10"/>
  <c r="R28" i="10"/>
  <c r="Q177" i="11"/>
  <c r="Q317" i="11" s="1"/>
  <c r="R96" i="10"/>
  <c r="Q96" i="10"/>
  <c r="E108" i="10"/>
  <c r="V34" i="11"/>
  <c r="E94" i="10"/>
  <c r="U132" i="11"/>
  <c r="T132" i="11"/>
  <c r="U84" i="11"/>
  <c r="U85" i="11" s="1"/>
  <c r="T84" i="11"/>
  <c r="T85" i="11" s="1"/>
  <c r="V135" i="11"/>
  <c r="J101" i="10"/>
  <c r="J113" i="10" s="1"/>
  <c r="Q299" i="11"/>
  <c r="Q298" i="11"/>
  <c r="C94" i="10"/>
  <c r="V12" i="11"/>
  <c r="Q24" i="10"/>
  <c r="K48" i="10"/>
  <c r="D60" i="10" s="1"/>
  <c r="F60" i="10" s="1"/>
  <c r="V19" i="11"/>
  <c r="D94" i="10"/>
  <c r="T294" i="11"/>
  <c r="V36" i="11"/>
  <c r="K76" i="10"/>
  <c r="K77" i="10" s="1"/>
  <c r="U249" i="11"/>
  <c r="U300" i="11" s="1"/>
  <c r="S300" i="11"/>
  <c r="T249" i="11"/>
  <c r="N46" i="10"/>
  <c r="N32" i="10"/>
  <c r="T30" i="10"/>
  <c r="U131" i="11"/>
  <c r="T131" i="11"/>
  <c r="S136" i="11"/>
  <c r="Q28" i="10"/>
  <c r="U59" i="11"/>
  <c r="U298" i="11" s="1"/>
  <c r="T59" i="11"/>
  <c r="S49" i="11"/>
  <c r="I9" i="10"/>
  <c r="S24" i="10"/>
  <c r="S85" i="11"/>
  <c r="S314" i="11" s="1"/>
  <c r="Q127" i="11"/>
  <c r="Q315" i="11" s="1"/>
  <c r="U229" i="11"/>
  <c r="T229" i="11"/>
  <c r="L333" i="11"/>
  <c r="L311" i="11"/>
  <c r="L280" i="11"/>
  <c r="R82" i="10"/>
  <c r="E149" i="10"/>
  <c r="R142" i="10"/>
  <c r="E143" i="10"/>
  <c r="T18" i="11"/>
  <c r="U18" i="11"/>
  <c r="U22" i="11" s="1"/>
  <c r="S22" i="11"/>
  <c r="S310" i="11" s="1"/>
  <c r="U258" i="11"/>
  <c r="T258" i="11"/>
  <c r="O41" i="11"/>
  <c r="O50" i="11" s="1"/>
  <c r="S39" i="11"/>
  <c r="S41" i="11" s="1"/>
  <c r="T32" i="11"/>
  <c r="U32" i="11"/>
  <c r="U95" i="11"/>
  <c r="T95" i="11"/>
  <c r="V83" i="11"/>
  <c r="H95" i="10"/>
  <c r="S126" i="11"/>
  <c r="Q82" i="10"/>
  <c r="Q85" i="10" s="1"/>
  <c r="T23" i="10"/>
  <c r="K123" i="10"/>
  <c r="R123" i="10" s="1"/>
  <c r="O156" i="11"/>
  <c r="R26" i="10"/>
  <c r="M318" i="11"/>
  <c r="L34" i="10" s="1"/>
  <c r="L35" i="10" s="1"/>
  <c r="M196" i="11"/>
  <c r="M340" i="11"/>
  <c r="Q340" i="11" s="1"/>
  <c r="V194" i="11"/>
  <c r="U13" i="11"/>
  <c r="U143" i="11"/>
  <c r="T143" i="11"/>
  <c r="U277" i="11"/>
  <c r="U278" i="11" s="1"/>
  <c r="T277" i="11"/>
  <c r="T278" i="11" s="1"/>
  <c r="L317" i="11"/>
  <c r="L339" i="11"/>
  <c r="D48" i="10"/>
  <c r="D53" i="10" s="1"/>
  <c r="F53" i="10" s="1"/>
  <c r="I143" i="10"/>
  <c r="I147" i="10"/>
  <c r="I150" i="10" s="1"/>
  <c r="O127" i="11"/>
  <c r="T224" i="11"/>
  <c r="V220" i="11"/>
  <c r="M301" i="11"/>
  <c r="M75" i="11" l="1"/>
  <c r="M312" i="11"/>
  <c r="F34" i="10" s="1"/>
  <c r="V278" i="11"/>
  <c r="T344" i="11"/>
  <c r="T322" i="11"/>
  <c r="U344" i="11"/>
  <c r="U322" i="11"/>
  <c r="F35" i="10"/>
  <c r="V258" i="11"/>
  <c r="Q280" i="11"/>
  <c r="U296" i="11"/>
  <c r="V270" i="11"/>
  <c r="V208" i="11"/>
  <c r="M339" i="11"/>
  <c r="Q339" i="11" s="1"/>
  <c r="M317" i="11"/>
  <c r="K34" i="10" s="1"/>
  <c r="K35" i="10" s="1"/>
  <c r="Q74" i="11"/>
  <c r="Q312" i="11" s="1"/>
  <c r="U105" i="11"/>
  <c r="T24" i="10"/>
  <c r="V191" i="11"/>
  <c r="I18" i="10"/>
  <c r="U273" i="11"/>
  <c r="U343" i="11" s="1"/>
  <c r="V277" i="11"/>
  <c r="L323" i="11"/>
  <c r="L325" i="11" s="1"/>
  <c r="I126" i="10"/>
  <c r="I106" i="10"/>
  <c r="I127" i="10"/>
  <c r="L345" i="11"/>
  <c r="L348" i="11" s="1"/>
  <c r="U299" i="11"/>
  <c r="Q86" i="10"/>
  <c r="I35" i="10"/>
  <c r="T299" i="11"/>
  <c r="T250" i="11"/>
  <c r="T342" i="11" s="1"/>
  <c r="U250" i="11"/>
  <c r="U320" i="11" s="1"/>
  <c r="Q301" i="11"/>
  <c r="S177" i="11"/>
  <c r="U177" i="11" s="1"/>
  <c r="O177" i="11"/>
  <c r="O280" i="11" s="1"/>
  <c r="U69" i="11"/>
  <c r="U292" i="11" s="1"/>
  <c r="T69" i="11"/>
  <c r="T74" i="11" s="1"/>
  <c r="S292" i="11"/>
  <c r="S74" i="11"/>
  <c r="S312" i="11" s="1"/>
  <c r="Q311" i="11"/>
  <c r="C113" i="10"/>
  <c r="Q101" i="10"/>
  <c r="U319" i="11"/>
  <c r="U341" i="11"/>
  <c r="F100" i="10"/>
  <c r="F112" i="10" s="1"/>
  <c r="V59" i="11"/>
  <c r="F63" i="10"/>
  <c r="C102" i="10"/>
  <c r="C106" i="10"/>
  <c r="C127" i="10"/>
  <c r="C126" i="10"/>
  <c r="T298" i="11"/>
  <c r="U176" i="11"/>
  <c r="T176" i="11"/>
  <c r="T28" i="10"/>
  <c r="V249" i="11"/>
  <c r="T300" i="11"/>
  <c r="E127" i="10"/>
  <c r="E106" i="10"/>
  <c r="E126" i="10"/>
  <c r="U148" i="11"/>
  <c r="U293" i="11" s="1"/>
  <c r="T148" i="11"/>
  <c r="T293" i="11" s="1"/>
  <c r="S293" i="11"/>
  <c r="T331" i="11"/>
  <c r="T309" i="11"/>
  <c r="V13" i="11"/>
  <c r="C107" i="10"/>
  <c r="U314" i="11"/>
  <c r="U336" i="11"/>
  <c r="U332" i="11"/>
  <c r="U310" i="11"/>
  <c r="S318" i="11"/>
  <c r="U195" i="11"/>
  <c r="T195" i="11"/>
  <c r="U112" i="11"/>
  <c r="T112" i="11"/>
  <c r="V105" i="11"/>
  <c r="I95" i="10"/>
  <c r="T273" i="11"/>
  <c r="T314" i="11"/>
  <c r="T336" i="11"/>
  <c r="V85" i="11"/>
  <c r="V229" i="11"/>
  <c r="N101" i="10"/>
  <c r="Q108" i="10"/>
  <c r="R108" i="10"/>
  <c r="T319" i="11"/>
  <c r="T341" i="11"/>
  <c r="V224" i="11"/>
  <c r="V143" i="11"/>
  <c r="K101" i="10"/>
  <c r="K113" i="10" s="1"/>
  <c r="V18" i="11"/>
  <c r="D95" i="10"/>
  <c r="D107" i="10" s="1"/>
  <c r="T22" i="11"/>
  <c r="V185" i="11"/>
  <c r="L95" i="10"/>
  <c r="D111" i="10"/>
  <c r="V134" i="11"/>
  <c r="J98" i="10"/>
  <c r="J110" i="10" s="1"/>
  <c r="V95" i="11"/>
  <c r="I101" i="10"/>
  <c r="I113" i="10" s="1"/>
  <c r="V154" i="11"/>
  <c r="K94" i="10"/>
  <c r="H107" i="10"/>
  <c r="U136" i="11"/>
  <c r="S316" i="11"/>
  <c r="T136" i="11"/>
  <c r="D106" i="10"/>
  <c r="D127" i="10"/>
  <c r="D126" i="10"/>
  <c r="V84" i="11"/>
  <c r="H99" i="10"/>
  <c r="H111" i="10" s="1"/>
  <c r="T79" i="11"/>
  <c r="G94" i="10"/>
  <c r="V78" i="11"/>
  <c r="T296" i="11"/>
  <c r="V116" i="11"/>
  <c r="I98" i="10"/>
  <c r="V165" i="11"/>
  <c r="I145" i="10"/>
  <c r="I144" i="10"/>
  <c r="V131" i="11"/>
  <c r="J95" i="10"/>
  <c r="J107" i="10" s="1"/>
  <c r="M311" i="11"/>
  <c r="M333" i="11"/>
  <c r="M51" i="11"/>
  <c r="D144" i="10"/>
  <c r="D145" i="10"/>
  <c r="M346" i="11"/>
  <c r="S32" i="10"/>
  <c r="I151" i="10"/>
  <c r="I152" i="10"/>
  <c r="U331" i="11"/>
  <c r="U309" i="11"/>
  <c r="U335" i="11"/>
  <c r="U313" i="11"/>
  <c r="V32" i="11"/>
  <c r="E95" i="10"/>
  <c r="E107" i="10" s="1"/>
  <c r="R149" i="10"/>
  <c r="E150" i="10"/>
  <c r="K130" i="10"/>
  <c r="K125" i="10"/>
  <c r="T41" i="11"/>
  <c r="U41" i="11"/>
  <c r="S295" i="11"/>
  <c r="T49" i="11"/>
  <c r="S50" i="11"/>
  <c r="U49" i="11"/>
  <c r="S297" i="11"/>
  <c r="E112" i="10"/>
  <c r="Q145" i="10"/>
  <c r="Q144" i="10"/>
  <c r="K131" i="10"/>
  <c r="Q124" i="10"/>
  <c r="R124" i="10"/>
  <c r="T126" i="11"/>
  <c r="U126" i="11"/>
  <c r="S127" i="11"/>
  <c r="R147" i="10"/>
  <c r="Q147" i="10"/>
  <c r="Q150" i="10" s="1"/>
  <c r="D150" i="10"/>
  <c r="V132" i="11"/>
  <c r="J94" i="10"/>
  <c r="J127" i="10" s="1"/>
  <c r="N35" i="10"/>
  <c r="F52" i="10"/>
  <c r="V171" i="11"/>
  <c r="K98" i="10"/>
  <c r="K110" i="10" s="1"/>
  <c r="V73" i="11"/>
  <c r="O102" i="10"/>
  <c r="O113" i="10"/>
  <c r="O114" i="10" s="1"/>
  <c r="T32" i="10" l="1"/>
  <c r="R100" i="10"/>
  <c r="R33" i="10"/>
  <c r="T320" i="11"/>
  <c r="Q100" i="10"/>
  <c r="S280" i="11"/>
  <c r="T366" i="11"/>
  <c r="D66" i="10"/>
  <c r="F66" i="10" s="1"/>
  <c r="S317" i="11"/>
  <c r="Q323" i="11"/>
  <c r="I20" i="10"/>
  <c r="U321" i="11"/>
  <c r="U342" i="11"/>
  <c r="T364" i="11" s="1"/>
  <c r="U364" i="11" s="1"/>
  <c r="V250" i="11"/>
  <c r="M303" i="11"/>
  <c r="I134" i="10"/>
  <c r="I133" i="10"/>
  <c r="T358" i="11"/>
  <c r="U358" i="11" s="1"/>
  <c r="V112" i="11"/>
  <c r="T177" i="11"/>
  <c r="T339" i="11" s="1"/>
  <c r="U295" i="11"/>
  <c r="T363" i="11"/>
  <c r="U363" i="11" s="1"/>
  <c r="U74" i="11"/>
  <c r="U312" i="11" s="1"/>
  <c r="Q333" i="11"/>
  <c r="Q345" i="11" s="1"/>
  <c r="M345" i="11"/>
  <c r="M348" i="11" s="1"/>
  <c r="U316" i="11"/>
  <c r="U338" i="11"/>
  <c r="U339" i="11"/>
  <c r="U317" i="11"/>
  <c r="T335" i="11"/>
  <c r="T357" i="11" s="1"/>
  <c r="U357" i="11" s="1"/>
  <c r="T313" i="11"/>
  <c r="V79" i="11"/>
  <c r="I107" i="10"/>
  <c r="I114" i="10" s="1"/>
  <c r="I102" i="10"/>
  <c r="K95" i="10"/>
  <c r="K102" i="10" s="1"/>
  <c r="V148" i="11"/>
  <c r="V273" i="11"/>
  <c r="T343" i="11"/>
  <c r="T321" i="11"/>
  <c r="Q131" i="10"/>
  <c r="R131" i="10"/>
  <c r="E97" i="10"/>
  <c r="V41" i="11"/>
  <c r="T295" i="11"/>
  <c r="M103" i="10"/>
  <c r="H114" i="10"/>
  <c r="H102" i="10"/>
  <c r="H103" i="10" s="1"/>
  <c r="S301" i="11"/>
  <c r="T50" i="11"/>
  <c r="V49" i="11"/>
  <c r="E99" i="10"/>
  <c r="T297" i="11"/>
  <c r="G102" i="10"/>
  <c r="G106" i="10"/>
  <c r="G126" i="10"/>
  <c r="G127" i="10"/>
  <c r="J102" i="10"/>
  <c r="J106" i="10"/>
  <c r="R130" i="10"/>
  <c r="K132" i="10"/>
  <c r="E134" i="10"/>
  <c r="E133" i="10"/>
  <c r="V69" i="11"/>
  <c r="F94" i="10"/>
  <c r="T292" i="11"/>
  <c r="E34" i="10"/>
  <c r="E35" i="10" s="1"/>
  <c r="M323" i="11"/>
  <c r="V176" i="11"/>
  <c r="K99" i="10"/>
  <c r="K111" i="10" s="1"/>
  <c r="T318" i="11"/>
  <c r="T340" i="11"/>
  <c r="V195" i="11"/>
  <c r="R101" i="10"/>
  <c r="S311" i="11"/>
  <c r="D151" i="10"/>
  <c r="D152" i="10"/>
  <c r="U318" i="11"/>
  <c r="U340" i="11"/>
  <c r="C114" i="10"/>
  <c r="C134" i="10"/>
  <c r="C133" i="10"/>
  <c r="Q113" i="10"/>
  <c r="K126" i="10"/>
  <c r="K127" i="10"/>
  <c r="R112" i="10"/>
  <c r="Q112" i="10"/>
  <c r="Q152" i="10"/>
  <c r="Q151" i="10"/>
  <c r="D114" i="10"/>
  <c r="D133" i="10"/>
  <c r="D134" i="10"/>
  <c r="T334" i="11"/>
  <c r="T312" i="11"/>
  <c r="L107" i="10"/>
  <c r="L114" i="10" s="1"/>
  <c r="L102" i="10"/>
  <c r="N113" i="10"/>
  <c r="N114" i="10" s="1"/>
  <c r="N102" i="10"/>
  <c r="N103" i="10" s="1"/>
  <c r="C103" i="10"/>
  <c r="R98" i="10"/>
  <c r="Q98" i="10"/>
  <c r="I110" i="10"/>
  <c r="D102" i="10"/>
  <c r="K106" i="10"/>
  <c r="T353" i="11"/>
  <c r="V126" i="11"/>
  <c r="I99" i="10"/>
  <c r="I111" i="10" s="1"/>
  <c r="S315" i="11"/>
  <c r="U127" i="11"/>
  <c r="T127" i="11"/>
  <c r="U50" i="11"/>
  <c r="U297" i="11"/>
  <c r="T338" i="11"/>
  <c r="T316" i="11"/>
  <c r="V136" i="11"/>
  <c r="T332" i="11"/>
  <c r="T354" i="11" s="1"/>
  <c r="U354" i="11" s="1"/>
  <c r="T310" i="11"/>
  <c r="V22" i="11"/>
  <c r="J126" i="10"/>
  <c r="U280" i="11" l="1"/>
  <c r="T280" i="11"/>
  <c r="U282" i="11" s="1"/>
  <c r="T365" i="11"/>
  <c r="U365" i="11" s="1"/>
  <c r="E102" i="10"/>
  <c r="V177" i="11"/>
  <c r="V74" i="11"/>
  <c r="T317" i="11"/>
  <c r="T301" i="11"/>
  <c r="U334" i="11"/>
  <c r="T356" i="11" s="1"/>
  <c r="U356" i="11" s="1"/>
  <c r="U301" i="11"/>
  <c r="S323" i="11"/>
  <c r="K103" i="10"/>
  <c r="L103" i="10"/>
  <c r="T360" i="11"/>
  <c r="U360" i="11" s="1"/>
  <c r="O103" i="10"/>
  <c r="E109" i="10"/>
  <c r="R97" i="10"/>
  <c r="E145" i="10"/>
  <c r="E144" i="10"/>
  <c r="E111" i="10"/>
  <c r="Q99" i="10"/>
  <c r="R99" i="10"/>
  <c r="K133" i="10"/>
  <c r="K134" i="10"/>
  <c r="U353" i="11"/>
  <c r="R113" i="10"/>
  <c r="M325" i="11"/>
  <c r="J114" i="10"/>
  <c r="J134" i="10"/>
  <c r="J133" i="10"/>
  <c r="U333" i="11"/>
  <c r="U311" i="11"/>
  <c r="Q110" i="10"/>
  <c r="R110" i="10"/>
  <c r="T315" i="11"/>
  <c r="T337" i="11"/>
  <c r="I103" i="10" s="1"/>
  <c r="V127" i="11"/>
  <c r="J103" i="10"/>
  <c r="K107" i="10"/>
  <c r="K114" i="10" s="1"/>
  <c r="Q95" i="10"/>
  <c r="T333" i="11"/>
  <c r="T311" i="11"/>
  <c r="V50" i="11"/>
  <c r="D103" i="10"/>
  <c r="U315" i="11"/>
  <c r="U337" i="11"/>
  <c r="R95" i="10"/>
  <c r="F106" i="10"/>
  <c r="F102" i="10"/>
  <c r="F103" i="10" s="1"/>
  <c r="F127" i="10"/>
  <c r="F126" i="10"/>
  <c r="R94" i="10"/>
  <c r="Q94" i="10"/>
  <c r="T361" i="11"/>
  <c r="U361" i="11" s="1"/>
  <c r="T362" i="11"/>
  <c r="U362" i="11" s="1"/>
  <c r="G114" i="10"/>
  <c r="G134" i="10"/>
  <c r="G133" i="10"/>
  <c r="G103" i="10"/>
  <c r="U302" i="11" l="1"/>
  <c r="E114" i="10"/>
  <c r="T323" i="11"/>
  <c r="U345" i="11"/>
  <c r="T345" i="11"/>
  <c r="U346" i="11" s="1"/>
  <c r="U347" i="11" s="1"/>
  <c r="U323" i="11"/>
  <c r="U324" i="11" s="1"/>
  <c r="Q107" i="10"/>
  <c r="T359" i="11"/>
  <c r="U359" i="11" s="1"/>
  <c r="E103" i="10"/>
  <c r="R107" i="10"/>
  <c r="F114" i="10"/>
  <c r="F134" i="10"/>
  <c r="F133" i="10"/>
  <c r="R106" i="10"/>
  <c r="Q106" i="10"/>
  <c r="R111" i="10"/>
  <c r="Q111" i="10"/>
  <c r="Q102" i="10"/>
  <c r="Q103" i="10" s="1"/>
  <c r="Q127" i="10"/>
  <c r="Q126" i="10"/>
  <c r="T355" i="11"/>
  <c r="R109" i="10"/>
  <c r="E152" i="10"/>
  <c r="E151" i="10"/>
  <c r="V280" i="11"/>
  <c r="U303" i="11" l="1"/>
  <c r="V282" i="11"/>
  <c r="U325" i="11"/>
  <c r="Q114" i="10"/>
  <c r="Q115" i="10" s="1"/>
  <c r="Q133" i="10"/>
  <c r="Q134" i="10"/>
  <c r="U355" i="11"/>
  <c r="U367" i="11" s="1"/>
  <c r="T367" i="11"/>
  <c r="T368" i="11" s="1"/>
  <c r="D10" i="9" l="1"/>
  <c r="E10" i="9" s="1"/>
  <c r="D9" i="9"/>
  <c r="AQ23" i="8" s="1"/>
  <c r="AM33" i="8" s="1"/>
  <c r="D8" i="9"/>
  <c r="AQ5" i="8" s="1"/>
  <c r="AM15" i="8" s="1"/>
  <c r="D7" i="9"/>
  <c r="E7" i="9" s="1"/>
  <c r="D6" i="9"/>
  <c r="E6" i="9" s="1"/>
  <c r="D5" i="9"/>
  <c r="E5" i="9" s="1"/>
  <c r="AD50" i="8"/>
  <c r="AC50" i="8"/>
  <c r="AB50" i="8"/>
  <c r="Y50" i="8"/>
  <c r="X50" i="8"/>
  <c r="W50" i="8"/>
  <c r="T50" i="8"/>
  <c r="S50" i="8"/>
  <c r="R50" i="8"/>
  <c r="I50" i="8"/>
  <c r="J50" i="8" s="1"/>
  <c r="P50" i="8" s="1"/>
  <c r="H50" i="8"/>
  <c r="F50" i="8"/>
  <c r="L50" i="8" s="1"/>
  <c r="M50" i="8" s="1"/>
  <c r="D50" i="8"/>
  <c r="D49" i="8"/>
  <c r="AM48" i="8"/>
  <c r="AD48" i="8"/>
  <c r="AC48" i="8"/>
  <c r="AB48" i="8"/>
  <c r="Y48" i="8"/>
  <c r="X48" i="8"/>
  <c r="W48" i="8"/>
  <c r="T48" i="8"/>
  <c r="S48" i="8"/>
  <c r="R48" i="8"/>
  <c r="I48" i="8"/>
  <c r="J48" i="8" s="1"/>
  <c r="P48" i="8" s="1"/>
  <c r="H48" i="8"/>
  <c r="F48" i="8"/>
  <c r="G48" i="8" s="1"/>
  <c r="D48" i="8"/>
  <c r="D47" i="8"/>
  <c r="AD46" i="8"/>
  <c r="AC46" i="8"/>
  <c r="AB46" i="8"/>
  <c r="Y46" i="8"/>
  <c r="X46" i="8"/>
  <c r="W46" i="8"/>
  <c r="T46" i="8"/>
  <c r="S46" i="8"/>
  <c r="R46" i="8"/>
  <c r="I46" i="8"/>
  <c r="J46" i="8" s="1"/>
  <c r="P46" i="8" s="1"/>
  <c r="U46" i="8" s="1"/>
  <c r="F46" i="8"/>
  <c r="L46" i="8" s="1"/>
  <c r="M46" i="8" s="1"/>
  <c r="D46" i="8"/>
  <c r="D45" i="8"/>
  <c r="AD33" i="8"/>
  <c r="AC33" i="8"/>
  <c r="AB33" i="8"/>
  <c r="Y33" i="8"/>
  <c r="X33" i="8"/>
  <c r="W33" i="8"/>
  <c r="T33" i="8"/>
  <c r="S33" i="8"/>
  <c r="R33" i="8"/>
  <c r="I33" i="8"/>
  <c r="H33" i="8"/>
  <c r="G33" i="8"/>
  <c r="F33" i="8"/>
  <c r="L33" i="8" s="1"/>
  <c r="M33" i="8" s="1"/>
  <c r="D33" i="8"/>
  <c r="D32" i="8"/>
  <c r="AM31" i="8"/>
  <c r="AD31" i="8"/>
  <c r="AC31" i="8"/>
  <c r="AB31" i="8"/>
  <c r="Y31" i="8"/>
  <c r="X31" i="8"/>
  <c r="W31" i="8"/>
  <c r="T31" i="8"/>
  <c r="S31" i="8"/>
  <c r="R31" i="8"/>
  <c r="I31" i="8"/>
  <c r="J33" i="8" s="1"/>
  <c r="P33" i="8" s="1"/>
  <c r="H31" i="8"/>
  <c r="G31" i="8"/>
  <c r="F31" i="8"/>
  <c r="D31" i="8"/>
  <c r="D30" i="8"/>
  <c r="AD29" i="8"/>
  <c r="AC29" i="8"/>
  <c r="AB29" i="8"/>
  <c r="Y29" i="8"/>
  <c r="X29" i="8"/>
  <c r="W29" i="8"/>
  <c r="T29" i="8"/>
  <c r="S29" i="8"/>
  <c r="R29" i="8"/>
  <c r="M29" i="8"/>
  <c r="L29" i="8"/>
  <c r="I29" i="8"/>
  <c r="J29" i="8" s="1"/>
  <c r="P29" i="8" s="1"/>
  <c r="G29" i="8"/>
  <c r="H29" i="8" s="1"/>
  <c r="F29" i="8"/>
  <c r="D29" i="8"/>
  <c r="D28" i="8"/>
  <c r="AS15" i="8"/>
  <c r="AT15" i="8" s="1"/>
  <c r="E23" i="5"/>
  <c r="E38" i="5" s="1"/>
  <c r="D96" i="4" s="1"/>
  <c r="AD15" i="8"/>
  <c r="AC15" i="8"/>
  <c r="AB15" i="8"/>
  <c r="Y15" i="8"/>
  <c r="X15" i="8"/>
  <c r="W15" i="8"/>
  <c r="T15" i="8"/>
  <c r="S15" i="8"/>
  <c r="R15" i="8"/>
  <c r="I15" i="8"/>
  <c r="J15" i="8" s="1"/>
  <c r="P15" i="8" s="1"/>
  <c r="H15" i="8"/>
  <c r="G15" i="8"/>
  <c r="C15" i="8"/>
  <c r="C14" i="8"/>
  <c r="D14" i="8" s="1"/>
  <c r="AM13" i="8"/>
  <c r="I13" i="8"/>
  <c r="J13" i="8" s="1"/>
  <c r="D13" i="8"/>
  <c r="C13" i="8"/>
  <c r="F15" i="8" s="1"/>
  <c r="D12" i="8"/>
  <c r="J11" i="8"/>
  <c r="I11" i="8"/>
  <c r="D11" i="8"/>
  <c r="D10" i="8"/>
  <c r="AM51" i="7"/>
  <c r="AD51" i="7"/>
  <c r="AC51" i="7"/>
  <c r="AB51" i="7"/>
  <c r="Y51" i="7"/>
  <c r="X51" i="7"/>
  <c r="W51" i="7"/>
  <c r="T51" i="7"/>
  <c r="S51" i="7"/>
  <c r="R51" i="7"/>
  <c r="I51" i="7"/>
  <c r="J51" i="7" s="1"/>
  <c r="P51" i="7" s="1"/>
  <c r="H51" i="7"/>
  <c r="K51" i="7" s="1"/>
  <c r="L51" i="7" s="1"/>
  <c r="M51" i="7" s="1"/>
  <c r="G51" i="7"/>
  <c r="F51" i="7"/>
  <c r="D51" i="7"/>
  <c r="D50" i="7"/>
  <c r="AD49" i="7"/>
  <c r="AC49" i="7"/>
  <c r="AB49" i="7"/>
  <c r="Y49" i="7"/>
  <c r="X49" i="7"/>
  <c r="W49" i="7"/>
  <c r="T49" i="7"/>
  <c r="S49" i="7"/>
  <c r="R49" i="7"/>
  <c r="I49" i="7"/>
  <c r="H49" i="7"/>
  <c r="F49" i="7"/>
  <c r="D49" i="7"/>
  <c r="D48" i="7"/>
  <c r="AT47" i="7"/>
  <c r="AS47" i="7"/>
  <c r="AO47" i="7"/>
  <c r="AC47" i="7"/>
  <c r="AE47" i="7" s="1"/>
  <c r="Z47" i="7"/>
  <c r="R47" i="7"/>
  <c r="U47" i="7" s="1"/>
  <c r="AF47" i="7" s="1"/>
  <c r="AH47" i="7" s="1"/>
  <c r="I47" i="7"/>
  <c r="J47" i="7" s="1"/>
  <c r="F47" i="7"/>
  <c r="G47" i="7" s="1"/>
  <c r="H47" i="7" s="1"/>
  <c r="D47" i="7"/>
  <c r="D46" i="7"/>
  <c r="AQ41" i="7"/>
  <c r="AP34" i="7"/>
  <c r="AQ34" i="7" s="1"/>
  <c r="AD34" i="7"/>
  <c r="AC34" i="7"/>
  <c r="AB34" i="7"/>
  <c r="Y34" i="7"/>
  <c r="X34" i="7"/>
  <c r="W34" i="7"/>
  <c r="T34" i="7"/>
  <c r="S34" i="7"/>
  <c r="R34" i="7"/>
  <c r="I34" i="7"/>
  <c r="H34" i="7"/>
  <c r="G34" i="7"/>
  <c r="F34" i="7"/>
  <c r="L34" i="7" s="1"/>
  <c r="M34" i="7" s="1"/>
  <c r="D34" i="7"/>
  <c r="D33" i="7"/>
  <c r="AM32" i="7"/>
  <c r="AD32" i="7"/>
  <c r="AC32" i="7"/>
  <c r="AB32" i="7"/>
  <c r="Y32" i="7"/>
  <c r="X32" i="7"/>
  <c r="W32" i="7"/>
  <c r="T32" i="7"/>
  <c r="S32" i="7"/>
  <c r="R32" i="7"/>
  <c r="L32" i="7"/>
  <c r="M32" i="7" s="1"/>
  <c r="I32" i="7"/>
  <c r="J32" i="7" s="1"/>
  <c r="P32" i="7" s="1"/>
  <c r="H32" i="7"/>
  <c r="G32" i="7"/>
  <c r="F32" i="7"/>
  <c r="D32" i="7"/>
  <c r="D31" i="7"/>
  <c r="AS30" i="7"/>
  <c r="AT30" i="7" s="1"/>
  <c r="AO30" i="7"/>
  <c r="AC30" i="7"/>
  <c r="AE30" i="7" s="1"/>
  <c r="AF30" i="7" s="1"/>
  <c r="AH30" i="7" s="1"/>
  <c r="Z30" i="7"/>
  <c r="U30" i="7"/>
  <c r="R30" i="7"/>
  <c r="I30" i="7"/>
  <c r="J30" i="7" s="1"/>
  <c r="F30" i="7"/>
  <c r="G30" i="7" s="1"/>
  <c r="H30" i="7" s="1"/>
  <c r="D30" i="7"/>
  <c r="D29" i="7"/>
  <c r="AQ24" i="7"/>
  <c r="AM34" i="7" s="1"/>
  <c r="AD17" i="7"/>
  <c r="AC17" i="7"/>
  <c r="AB17" i="7"/>
  <c r="Y17" i="7"/>
  <c r="X17" i="7"/>
  <c r="W17" i="7"/>
  <c r="T17" i="7"/>
  <c r="S17" i="7"/>
  <c r="R17" i="7"/>
  <c r="I17" i="7"/>
  <c r="H17" i="7"/>
  <c r="G17" i="7"/>
  <c r="F17" i="7"/>
  <c r="D17" i="7"/>
  <c r="D16" i="7"/>
  <c r="AM15" i="7"/>
  <c r="AD15" i="7"/>
  <c r="AC15" i="7"/>
  <c r="AB15" i="7"/>
  <c r="Y15" i="7"/>
  <c r="X15" i="7"/>
  <c r="W15" i="7"/>
  <c r="T15" i="7"/>
  <c r="S15" i="7"/>
  <c r="R15" i="7"/>
  <c r="K15" i="7"/>
  <c r="L17" i="7" s="1"/>
  <c r="M17" i="7" s="1"/>
  <c r="I15" i="7"/>
  <c r="J17" i="7" s="1"/>
  <c r="P17" i="7" s="1"/>
  <c r="H15" i="7"/>
  <c r="G15" i="7"/>
  <c r="F15" i="7"/>
  <c r="D15" i="7"/>
  <c r="D14" i="7"/>
  <c r="AD13" i="7"/>
  <c r="AC13" i="7"/>
  <c r="AE13" i="7" s="1"/>
  <c r="AB13" i="7"/>
  <c r="Y13" i="7"/>
  <c r="X13" i="7"/>
  <c r="Z13" i="7" s="1"/>
  <c r="W13" i="7"/>
  <c r="T13" i="7"/>
  <c r="S13" i="7"/>
  <c r="R13" i="7"/>
  <c r="K13" i="7"/>
  <c r="I13" i="7"/>
  <c r="J13" i="7" s="1"/>
  <c r="H13" i="7"/>
  <c r="G13" i="7"/>
  <c r="F13" i="7"/>
  <c r="D13" i="7"/>
  <c r="D12" i="7"/>
  <c r="I11" i="7"/>
  <c r="F11" i="7"/>
  <c r="D11" i="7"/>
  <c r="D10" i="7"/>
  <c r="AQ5" i="7"/>
  <c r="AM17" i="7" s="1"/>
  <c r="I14" i="6"/>
  <c r="J14" i="6" s="1"/>
  <c r="E13" i="5" s="1"/>
  <c r="H14" i="6"/>
  <c r="D14" i="6"/>
  <c r="H11" i="6"/>
  <c r="D11" i="6"/>
  <c r="C10" i="5" s="1"/>
  <c r="C37" i="5" s="1"/>
  <c r="C95" i="4" s="1"/>
  <c r="H8" i="6"/>
  <c r="D8" i="6"/>
  <c r="I8" i="6" s="1"/>
  <c r="I5" i="6"/>
  <c r="E4" i="5" s="1"/>
  <c r="H5" i="6"/>
  <c r="D5" i="6"/>
  <c r="C24" i="5"/>
  <c r="C39" i="5" s="1"/>
  <c r="C97" i="4" s="1"/>
  <c r="E21" i="5"/>
  <c r="E14" i="5"/>
  <c r="F14" i="5" s="1"/>
  <c r="B14" i="5"/>
  <c r="C13" i="5"/>
  <c r="C41" i="5" s="1"/>
  <c r="C99" i="4" s="1"/>
  <c r="E11" i="5"/>
  <c r="F11" i="5" s="1"/>
  <c r="B11" i="5"/>
  <c r="E8" i="5"/>
  <c r="F8" i="5" s="1"/>
  <c r="B8" i="5"/>
  <c r="C7" i="5"/>
  <c r="C36" i="5" s="1"/>
  <c r="C94" i="4" s="1"/>
  <c r="E5" i="5"/>
  <c r="F5" i="5" s="1"/>
  <c r="B5" i="5"/>
  <c r="C4" i="5"/>
  <c r="C33" i="5" s="1"/>
  <c r="C91" i="4" s="1"/>
  <c r="B21" i="1"/>
  <c r="C7" i="1" s="1"/>
  <c r="H86" i="4"/>
  <c r="F117" i="4"/>
  <c r="H65" i="4"/>
  <c r="E20" i="1"/>
  <c r="H43" i="4"/>
  <c r="D43" i="4"/>
  <c r="F43" i="4" s="1"/>
  <c r="D42" i="4"/>
  <c r="B23" i="2"/>
  <c r="C22" i="2"/>
  <c r="D22" i="2" s="1"/>
  <c r="C66" i="4"/>
  <c r="G66" i="4"/>
  <c r="G22" i="4"/>
  <c r="H22" i="4"/>
  <c r="C100" i="4" l="1"/>
  <c r="C154" i="4" s="1"/>
  <c r="C16" i="5"/>
  <c r="F38" i="5"/>
  <c r="U29" i="8"/>
  <c r="AE29" i="8"/>
  <c r="Z29" i="8"/>
  <c r="U17" i="7"/>
  <c r="Z17" i="7"/>
  <c r="AE17" i="7"/>
  <c r="N17" i="7"/>
  <c r="AE51" i="7"/>
  <c r="Z51" i="7"/>
  <c r="U51" i="7"/>
  <c r="AF51" i="7" s="1"/>
  <c r="AE15" i="8"/>
  <c r="Z15" i="8"/>
  <c r="U15" i="8"/>
  <c r="AF15" i="8" s="1"/>
  <c r="U32" i="7"/>
  <c r="AE32" i="7"/>
  <c r="Z32" i="7"/>
  <c r="Z48" i="8"/>
  <c r="AE48" i="8"/>
  <c r="U48" i="8"/>
  <c r="AF48" i="8" s="1"/>
  <c r="L48" i="8" s="1"/>
  <c r="J8" i="6"/>
  <c r="E7" i="5" s="1"/>
  <c r="N32" i="7"/>
  <c r="F4" i="5"/>
  <c r="AE50" i="8"/>
  <c r="U50" i="8"/>
  <c r="Z50" i="8"/>
  <c r="Z33" i="8"/>
  <c r="U33" i="8"/>
  <c r="AE33" i="8"/>
  <c r="F13" i="5"/>
  <c r="E41" i="5"/>
  <c r="AF46" i="8"/>
  <c r="AH46" i="8" s="1"/>
  <c r="AH51" i="7"/>
  <c r="N51" i="7"/>
  <c r="F23" i="5"/>
  <c r="G49" i="7"/>
  <c r="L15" i="7"/>
  <c r="M15" i="7" s="1"/>
  <c r="J34" i="7"/>
  <c r="P34" i="7" s="1"/>
  <c r="N34" i="7"/>
  <c r="C27" i="5"/>
  <c r="C29" i="5" s="1"/>
  <c r="C43" i="5"/>
  <c r="J11" i="6"/>
  <c r="E10" i="5" s="1"/>
  <c r="J15" i="7"/>
  <c r="P15" i="7" s="1"/>
  <c r="AQ15" i="8"/>
  <c r="E8" i="9"/>
  <c r="J31" i="8"/>
  <c r="P31" i="8" s="1"/>
  <c r="AQ40" i="8"/>
  <c r="AM50" i="8" s="1"/>
  <c r="G46" i="8"/>
  <c r="H46" i="8" s="1"/>
  <c r="AE46" i="8"/>
  <c r="Z46" i="8"/>
  <c r="J49" i="7"/>
  <c r="P49" i="7" s="1"/>
  <c r="G50" i="8"/>
  <c r="E9" i="9"/>
  <c r="U13" i="7"/>
  <c r="AF13" i="7" s="1"/>
  <c r="AH13" i="7" s="1"/>
  <c r="AP13" i="7" s="1"/>
  <c r="E34" i="5"/>
  <c r="F21" i="5"/>
  <c r="I11" i="6"/>
  <c r="L49" i="7"/>
  <c r="M49" i="7" s="1"/>
  <c r="D15" i="8"/>
  <c r="C20" i="1"/>
  <c r="H66" i="4"/>
  <c r="F22" i="2"/>
  <c r="E22" i="2"/>
  <c r="F21" i="4"/>
  <c r="C22" i="4"/>
  <c r="F34" i="5" l="1"/>
  <c r="D92" i="4"/>
  <c r="F41" i="5"/>
  <c r="D99" i="4"/>
  <c r="F33" i="5"/>
  <c r="D91" i="4"/>
  <c r="M48" i="8"/>
  <c r="K48" i="8"/>
  <c r="AF50" i="8"/>
  <c r="AH50" i="8" s="1"/>
  <c r="AS13" i="7"/>
  <c r="AT13" i="7" s="1"/>
  <c r="F10" i="5"/>
  <c r="E37" i="5"/>
  <c r="U15" i="7"/>
  <c r="AE15" i="7"/>
  <c r="Z15" i="7"/>
  <c r="E16" i="5"/>
  <c r="AF33" i="8"/>
  <c r="AH33" i="8" s="1"/>
  <c r="U31" i="8"/>
  <c r="AE31" i="8"/>
  <c r="Z31" i="8"/>
  <c r="AP51" i="7"/>
  <c r="AI51" i="7"/>
  <c r="AO51" i="7" s="1"/>
  <c r="AF17" i="7"/>
  <c r="AH17" i="7" s="1"/>
  <c r="AF32" i="7"/>
  <c r="AH32" i="7" s="1"/>
  <c r="Z49" i="7"/>
  <c r="U49" i="7"/>
  <c r="AE49" i="7"/>
  <c r="AF29" i="8"/>
  <c r="AH29" i="8" s="1"/>
  <c r="N49" i="7"/>
  <c r="Z34" i="7"/>
  <c r="U34" i="7"/>
  <c r="AE34" i="7"/>
  <c r="N15" i="7"/>
  <c r="F7" i="5"/>
  <c r="F16" i="5" s="1"/>
  <c r="E36" i="5"/>
  <c r="E22" i="4"/>
  <c r="G22" i="2"/>
  <c r="F22" i="4"/>
  <c r="D2" i="3"/>
  <c r="C12" i="2"/>
  <c r="C9" i="2"/>
  <c r="D9" i="2" s="1"/>
  <c r="C10" i="2"/>
  <c r="D10" i="2" s="1"/>
  <c r="D5" i="3"/>
  <c r="D8" i="3" s="1"/>
  <c r="C5" i="3"/>
  <c r="C8" i="3" s="1"/>
  <c r="B21" i="3"/>
  <c r="B23" i="3" s="1"/>
  <c r="G118" i="4"/>
  <c r="G122" i="4" s="1"/>
  <c r="D4" i="4"/>
  <c r="F37" i="5" l="1"/>
  <c r="D95" i="4"/>
  <c r="F36" i="5"/>
  <c r="D94" i="4"/>
  <c r="E5" i="3"/>
  <c r="AI50" i="8"/>
  <c r="AO50" i="8" s="1"/>
  <c r="AP33" i="8"/>
  <c r="AI33" i="8"/>
  <c r="AO33" i="8" s="1"/>
  <c r="N48" i="8"/>
  <c r="AH48" i="8"/>
  <c r="N50" i="8"/>
  <c r="E22" i="5"/>
  <c r="AS51" i="7"/>
  <c r="AT51" i="7" s="1"/>
  <c r="AQ51" i="7"/>
  <c r="AF15" i="7"/>
  <c r="AH15" i="7" s="1"/>
  <c r="AF34" i="7"/>
  <c r="AH34" i="7" s="1"/>
  <c r="AI34" i="7" s="1"/>
  <c r="AO34" i="7" s="1"/>
  <c r="AF31" i="8"/>
  <c r="L31" i="8" s="1"/>
  <c r="AF49" i="7"/>
  <c r="AH49" i="7" s="1"/>
  <c r="AP32" i="7"/>
  <c r="AI32" i="7"/>
  <c r="AO32" i="7" s="1"/>
  <c r="AP17" i="7"/>
  <c r="AI17" i="7"/>
  <c r="AO17" i="7" s="1"/>
  <c r="C8" i="1"/>
  <c r="B24" i="1"/>
  <c r="D20" i="1" s="1"/>
  <c r="D19" i="3"/>
  <c r="D20" i="3"/>
  <c r="C20" i="3"/>
  <c r="C19" i="3"/>
  <c r="E8" i="3"/>
  <c r="E20" i="3" l="1"/>
  <c r="D116" i="4" s="1"/>
  <c r="E19" i="3"/>
  <c r="AP48" i="8"/>
  <c r="AI48" i="8"/>
  <c r="AO48" i="8" s="1"/>
  <c r="AS33" i="8"/>
  <c r="AT33" i="8" s="1"/>
  <c r="AQ33" i="8"/>
  <c r="E24" i="5"/>
  <c r="AQ17" i="7"/>
  <c r="E20" i="5"/>
  <c r="AT17" i="7"/>
  <c r="AS32" i="7"/>
  <c r="AT32" i="7" s="1"/>
  <c r="AQ32" i="7"/>
  <c r="AP49" i="7"/>
  <c r="AI49" i="7"/>
  <c r="AO49" i="7" s="1"/>
  <c r="K31" i="8"/>
  <c r="M31" i="8"/>
  <c r="AS50" i="8"/>
  <c r="AT50" i="8" s="1"/>
  <c r="AQ50" i="8"/>
  <c r="E25" i="5"/>
  <c r="AI15" i="7"/>
  <c r="AO15" i="7" s="1"/>
  <c r="AP15" i="7"/>
  <c r="E35" i="5"/>
  <c r="F22" i="5"/>
  <c r="G20" i="1"/>
  <c r="D7" i="1"/>
  <c r="D125" i="4"/>
  <c r="F125" i="4" s="1"/>
  <c r="F35" i="5" l="1"/>
  <c r="D93" i="4"/>
  <c r="AQ48" i="8"/>
  <c r="AS48" i="8"/>
  <c r="AT48" i="8" s="1"/>
  <c r="AQ49" i="7"/>
  <c r="AS49" i="7"/>
  <c r="AT49" i="7"/>
  <c r="AS15" i="7"/>
  <c r="AT15" i="7"/>
  <c r="AQ15" i="7"/>
  <c r="F25" i="5"/>
  <c r="E40" i="5"/>
  <c r="E27" i="5"/>
  <c r="E29" i="5" s="1"/>
  <c r="E32" i="5"/>
  <c r="F20" i="5"/>
  <c r="E39" i="5"/>
  <c r="F24" i="5"/>
  <c r="AH31" i="8"/>
  <c r="N31" i="8"/>
  <c r="N33" i="8"/>
  <c r="H20" i="1"/>
  <c r="I20" i="1" s="1"/>
  <c r="D65" i="4" s="1"/>
  <c r="D86" i="4" s="1"/>
  <c r="D141" i="4" s="1"/>
  <c r="H52" i="4"/>
  <c r="F39" i="5" l="1"/>
  <c r="D97" i="4"/>
  <c r="E43" i="5"/>
  <c r="D90" i="4"/>
  <c r="F40" i="5"/>
  <c r="D98" i="4"/>
  <c r="D100" i="4" s="1"/>
  <c r="F27" i="5"/>
  <c r="F29" i="5" s="1"/>
  <c r="F32" i="5"/>
  <c r="F43" i="5" s="1"/>
  <c r="AI31" i="8"/>
  <c r="AO31" i="8" s="1"/>
  <c r="AP31" i="8"/>
  <c r="F86" i="4"/>
  <c r="F65" i="4"/>
  <c r="F99" i="4"/>
  <c r="F98" i="4" l="1"/>
  <c r="F100" i="4"/>
  <c r="E100" i="4"/>
  <c r="AS31" i="8"/>
  <c r="AT31" i="8" s="1"/>
  <c r="AQ31" i="8"/>
  <c r="F141" i="4"/>
  <c r="C73" i="4"/>
  <c r="F25" i="4"/>
  <c r="F8" i="4"/>
  <c r="H31" i="4"/>
  <c r="H32" i="4"/>
  <c r="H33" i="4"/>
  <c r="H34" i="4"/>
  <c r="H35" i="4"/>
  <c r="H36" i="4"/>
  <c r="H37" i="4"/>
  <c r="H38" i="4"/>
  <c r="H39" i="4"/>
  <c r="H40" i="4"/>
  <c r="H41" i="4"/>
  <c r="H42" i="4"/>
  <c r="H30" i="4"/>
  <c r="E9" i="2"/>
  <c r="D3" i="3"/>
  <c r="H44" i="4" l="1"/>
  <c r="D4" i="1"/>
  <c r="D3" i="1"/>
  <c r="D4" i="2"/>
  <c r="D3" i="2"/>
  <c r="C16" i="1" l="1"/>
  <c r="H120" i="4"/>
  <c r="H105" i="4"/>
  <c r="H106" i="4"/>
  <c r="H107" i="4"/>
  <c r="H108" i="4"/>
  <c r="H109" i="4"/>
  <c r="H110" i="4"/>
  <c r="H111" i="4"/>
  <c r="H112" i="4"/>
  <c r="H113" i="4"/>
  <c r="H114" i="4"/>
  <c r="H115" i="4"/>
  <c r="H116" i="4"/>
  <c r="H104" i="4"/>
  <c r="H64" i="4"/>
  <c r="H53" i="4"/>
  <c r="H54" i="4"/>
  <c r="H55" i="4"/>
  <c r="H56" i="4"/>
  <c r="H57" i="4"/>
  <c r="H58" i="4"/>
  <c r="H59" i="4"/>
  <c r="H60" i="4"/>
  <c r="H61" i="4"/>
  <c r="H62" i="4"/>
  <c r="H63" i="4"/>
  <c r="H118" i="4" l="1"/>
  <c r="H122" i="4"/>
  <c r="F26" i="4"/>
  <c r="C122" i="4" l="1"/>
  <c r="C144" i="4"/>
  <c r="C158" i="4" s="1"/>
  <c r="C172" i="4" s="1"/>
  <c r="C9" i="3"/>
  <c r="C18" i="3"/>
  <c r="E26" i="4"/>
  <c r="E8" i="4"/>
  <c r="D123" i="4" l="1"/>
  <c r="F123" i="4" s="1"/>
  <c r="F72" i="4"/>
  <c r="E96" i="4"/>
  <c r="F96" i="4"/>
  <c r="E97" i="4"/>
  <c r="F97" i="4"/>
  <c r="E98" i="4"/>
  <c r="E90" i="4"/>
  <c r="E91" i="4"/>
  <c r="E92" i="4"/>
  <c r="E93" i="4"/>
  <c r="E20" i="4"/>
  <c r="E19" i="4"/>
  <c r="C150" i="4" l="1"/>
  <c r="C69" i="4"/>
  <c r="C168" i="4"/>
  <c r="E123" i="4"/>
  <c r="C45" i="4"/>
  <c r="C151" i="4"/>
  <c r="C23" i="4" l="1"/>
  <c r="C67" i="4"/>
  <c r="C128" i="4"/>
  <c r="D48" i="4"/>
  <c r="F48" i="4" s="1"/>
  <c r="F162" i="4" l="1"/>
  <c r="E162" i="4"/>
  <c r="D162" i="4"/>
  <c r="C162" i="4"/>
  <c r="F148" i="4"/>
  <c r="E148" i="4"/>
  <c r="D148" i="4"/>
  <c r="C148" i="4"/>
  <c r="B144" i="4"/>
  <c r="F127" i="4"/>
  <c r="E127" i="4"/>
  <c r="D127" i="4"/>
  <c r="C127" i="4"/>
  <c r="E125" i="4"/>
  <c r="C155" i="4"/>
  <c r="C169" i="4" s="1"/>
  <c r="F103" i="4"/>
  <c r="E103" i="4"/>
  <c r="D103" i="4"/>
  <c r="C103" i="4"/>
  <c r="F93" i="4"/>
  <c r="F92" i="4"/>
  <c r="F91" i="4"/>
  <c r="F90" i="4"/>
  <c r="F89" i="4"/>
  <c r="E89" i="4"/>
  <c r="D89" i="4"/>
  <c r="C85" i="4"/>
  <c r="C140" i="4" s="1"/>
  <c r="C84" i="4"/>
  <c r="C139" i="4" s="1"/>
  <c r="C83" i="4"/>
  <c r="C82" i="4"/>
  <c r="C137" i="4" s="1"/>
  <c r="C81" i="4"/>
  <c r="C136" i="4" s="1"/>
  <c r="C80" i="4"/>
  <c r="C135" i="4" s="1"/>
  <c r="C79" i="4"/>
  <c r="C134" i="4" s="1"/>
  <c r="C78" i="4"/>
  <c r="C133" i="4" s="1"/>
  <c r="C77" i="4"/>
  <c r="C132" i="4" s="1"/>
  <c r="C76" i="4"/>
  <c r="C131" i="4" s="1"/>
  <c r="C75" i="4"/>
  <c r="C130" i="4" s="1"/>
  <c r="C74" i="4"/>
  <c r="E72" i="4"/>
  <c r="D72" i="4"/>
  <c r="C72" i="4"/>
  <c r="C165" i="4"/>
  <c r="F51" i="4"/>
  <c r="E51" i="4"/>
  <c r="D51" i="4"/>
  <c r="C51" i="4"/>
  <c r="E48" i="4"/>
  <c r="F29" i="4"/>
  <c r="E29" i="4"/>
  <c r="D29" i="4"/>
  <c r="C29" i="4"/>
  <c r="E25" i="4"/>
  <c r="F20" i="4"/>
  <c r="F19" i="4"/>
  <c r="F18" i="4"/>
  <c r="E18" i="4"/>
  <c r="F17" i="4"/>
  <c r="E17" i="4"/>
  <c r="F16" i="4"/>
  <c r="E16" i="4"/>
  <c r="F15" i="4"/>
  <c r="E15" i="4"/>
  <c r="F14" i="4"/>
  <c r="E14" i="4"/>
  <c r="F13" i="4"/>
  <c r="E13" i="4"/>
  <c r="F12" i="4"/>
  <c r="E12" i="4"/>
  <c r="F11" i="4"/>
  <c r="E11" i="4"/>
  <c r="F10" i="4"/>
  <c r="E10" i="4"/>
  <c r="F9" i="4"/>
  <c r="E9" i="4"/>
  <c r="C87" i="4" l="1"/>
  <c r="D163" i="4"/>
  <c r="E99" i="4"/>
  <c r="C129" i="4"/>
  <c r="C164" i="4"/>
  <c r="C149" i="4"/>
  <c r="C163" i="4" s="1"/>
  <c r="E163" i="4" l="1"/>
  <c r="C166" i="4"/>
  <c r="C146" i="4"/>
  <c r="F149" i="4"/>
  <c r="E149" i="4"/>
  <c r="C152" i="4"/>
  <c r="C156" i="4" s="1"/>
  <c r="C160" i="4" s="1"/>
  <c r="E94" i="4"/>
  <c r="C70" i="4" l="1"/>
  <c r="F163" i="4"/>
  <c r="F95" i="4"/>
  <c r="E95" i="4"/>
  <c r="F94" i="4"/>
  <c r="D154" i="4" l="1"/>
  <c r="F154" i="4" l="1"/>
  <c r="E154" i="4"/>
  <c r="D168" i="4"/>
  <c r="F168" i="4" l="1"/>
  <c r="E168" i="4"/>
  <c r="E8" i="1" l="1"/>
  <c r="E9" i="1"/>
  <c r="E10" i="1"/>
  <c r="E11" i="1"/>
  <c r="E12" i="1"/>
  <c r="E13" i="1"/>
  <c r="E14" i="1"/>
  <c r="E15" i="1"/>
  <c r="E16" i="1"/>
  <c r="E17" i="1"/>
  <c r="E18" i="1"/>
  <c r="E19" i="1"/>
  <c r="E7" i="1"/>
  <c r="E21" i="1" l="1"/>
  <c r="D47" i="4"/>
  <c r="F47" i="4" l="1"/>
  <c r="E47" i="4"/>
  <c r="C13" i="2" l="1"/>
  <c r="C16" i="2"/>
  <c r="D16" i="2" s="1"/>
  <c r="D22" i="3"/>
  <c r="C22" i="3"/>
  <c r="D18" i="3"/>
  <c r="D17" i="3"/>
  <c r="C17" i="3"/>
  <c r="D16" i="3"/>
  <c r="C16" i="3"/>
  <c r="E16" i="3" s="1"/>
  <c r="D15" i="3"/>
  <c r="C15" i="3"/>
  <c r="D14" i="3"/>
  <c r="C14" i="3"/>
  <c r="D13" i="3"/>
  <c r="C13" i="3"/>
  <c r="D12" i="3"/>
  <c r="C12" i="3"/>
  <c r="D11" i="3"/>
  <c r="C11" i="3"/>
  <c r="D10" i="3"/>
  <c r="C10" i="3"/>
  <c r="D9" i="3"/>
  <c r="C21" i="2"/>
  <c r="C20" i="2"/>
  <c r="D20" i="2" s="1"/>
  <c r="C19" i="2"/>
  <c r="C18" i="2"/>
  <c r="D18" i="2" s="1"/>
  <c r="E18" i="2" s="1"/>
  <c r="C17" i="2"/>
  <c r="D17" i="2" s="1"/>
  <c r="F17" i="2" s="1"/>
  <c r="C15" i="2"/>
  <c r="D15" i="2" s="1"/>
  <c r="F15" i="2" s="1"/>
  <c r="C14" i="2"/>
  <c r="D14" i="2" s="1"/>
  <c r="E14" i="2" s="1"/>
  <c r="D13" i="2"/>
  <c r="E13" i="2" s="1"/>
  <c r="D12" i="2"/>
  <c r="C11" i="2"/>
  <c r="D11" i="2" s="1"/>
  <c r="E11" i="2" l="1"/>
  <c r="D21" i="2"/>
  <c r="F21" i="2" s="1"/>
  <c r="D19" i="2"/>
  <c r="E19" i="2" s="1"/>
  <c r="E9" i="3"/>
  <c r="D21" i="3"/>
  <c r="D23" i="3" s="1"/>
  <c r="E10" i="3"/>
  <c r="C21" i="3"/>
  <c r="C23" i="3" s="1"/>
  <c r="E15" i="3"/>
  <c r="D111" i="4"/>
  <c r="D112" i="4"/>
  <c r="D105" i="4"/>
  <c r="D106" i="4"/>
  <c r="C19" i="1"/>
  <c r="E11" i="3"/>
  <c r="C13" i="1"/>
  <c r="D13" i="1" s="1"/>
  <c r="G7" i="1"/>
  <c r="E12" i="3"/>
  <c r="E17" i="3"/>
  <c r="F19" i="2"/>
  <c r="E18" i="3"/>
  <c r="E13" i="3"/>
  <c r="E22" i="3"/>
  <c r="D120" i="4" s="1"/>
  <c r="E14" i="3"/>
  <c r="C10" i="1"/>
  <c r="C14" i="1"/>
  <c r="C15" i="1"/>
  <c r="C9" i="1"/>
  <c r="C18" i="1"/>
  <c r="C17" i="1"/>
  <c r="C12" i="1"/>
  <c r="C11" i="1"/>
  <c r="D11" i="1" s="1"/>
  <c r="F10" i="2"/>
  <c r="E10" i="2"/>
  <c r="E21" i="2"/>
  <c r="F14" i="2"/>
  <c r="G14" i="2" s="1"/>
  <c r="D35" i="4" s="1"/>
  <c r="E12" i="2"/>
  <c r="F12" i="2"/>
  <c r="F16" i="2"/>
  <c r="E16" i="2"/>
  <c r="E20" i="2"/>
  <c r="F20" i="2"/>
  <c r="F9" i="2"/>
  <c r="F11" i="2"/>
  <c r="G11" i="2" s="1"/>
  <c r="D32" i="4" s="1"/>
  <c r="F13" i="2"/>
  <c r="G13" i="2" s="1"/>
  <c r="D34" i="4" s="1"/>
  <c r="E15" i="2"/>
  <c r="G15" i="2" s="1"/>
  <c r="F18" i="2"/>
  <c r="G18" i="2" s="1"/>
  <c r="D39" i="4" s="1"/>
  <c r="E17" i="2"/>
  <c r="G17" i="2" s="1"/>
  <c r="D38" i="4" s="1"/>
  <c r="C21" i="1" l="1"/>
  <c r="E23" i="2"/>
  <c r="D23" i="2"/>
  <c r="G9" i="2"/>
  <c r="F23" i="2"/>
  <c r="G19" i="2"/>
  <c r="D40" i="4" s="1"/>
  <c r="F40" i="4" s="1"/>
  <c r="E21" i="3"/>
  <c r="E23" i="3" s="1"/>
  <c r="D36" i="4"/>
  <c r="F36" i="4" s="1"/>
  <c r="G12" i="2"/>
  <c r="D33" i="4" s="1"/>
  <c r="F33" i="4" s="1"/>
  <c r="D19" i="1"/>
  <c r="G19" i="1" s="1"/>
  <c r="H19" i="1" s="1"/>
  <c r="D15" i="1"/>
  <c r="G15" i="1" s="1"/>
  <c r="H7" i="1"/>
  <c r="D144" i="4"/>
  <c r="E120" i="4"/>
  <c r="F120" i="4"/>
  <c r="F34" i="4"/>
  <c r="E34" i="4"/>
  <c r="F38" i="4"/>
  <c r="E38" i="4"/>
  <c r="F32" i="4"/>
  <c r="E32" i="4"/>
  <c r="E35" i="4"/>
  <c r="F35" i="4"/>
  <c r="E40" i="4"/>
  <c r="F39" i="4"/>
  <c r="E39" i="4"/>
  <c r="D109" i="4"/>
  <c r="F106" i="4"/>
  <c r="E106" i="4"/>
  <c r="D107" i="4"/>
  <c r="D114" i="4"/>
  <c r="D108" i="4"/>
  <c r="E112" i="4"/>
  <c r="F112" i="4"/>
  <c r="D115" i="4"/>
  <c r="F105" i="4"/>
  <c r="E105" i="4"/>
  <c r="D113" i="4"/>
  <c r="F111" i="4"/>
  <c r="E111" i="4"/>
  <c r="D110" i="4"/>
  <c r="D104" i="4"/>
  <c r="D9" i="1"/>
  <c r="G9" i="1" s="1"/>
  <c r="D14" i="1"/>
  <c r="G14" i="1" s="1"/>
  <c r="D10" i="1"/>
  <c r="G10" i="1" s="1"/>
  <c r="D16" i="1"/>
  <c r="G16" i="1" s="1"/>
  <c r="D8" i="1"/>
  <c r="D12" i="1"/>
  <c r="G12" i="1" s="1"/>
  <c r="G11" i="1"/>
  <c r="D17" i="1"/>
  <c r="G17" i="1" s="1"/>
  <c r="D18" i="1"/>
  <c r="G18" i="1" s="1"/>
  <c r="G13" i="1"/>
  <c r="G20" i="2"/>
  <c r="D41" i="4" s="1"/>
  <c r="G21" i="2"/>
  <c r="G10" i="2"/>
  <c r="D31" i="4" s="1"/>
  <c r="G16" i="2"/>
  <c r="D37" i="4" s="1"/>
  <c r="D118" i="4" l="1"/>
  <c r="D122" i="4" s="1"/>
  <c r="D21" i="1"/>
  <c r="I7" i="1"/>
  <c r="G8" i="1"/>
  <c r="G21" i="1" s="1"/>
  <c r="E33" i="4"/>
  <c r="D30" i="4"/>
  <c r="D44" i="4" s="1"/>
  <c r="G23" i="2"/>
  <c r="E36" i="4"/>
  <c r="D158" i="4"/>
  <c r="F144" i="4"/>
  <c r="E144" i="4"/>
  <c r="F31" i="4"/>
  <c r="E31" i="4"/>
  <c r="E37" i="4"/>
  <c r="F37" i="4"/>
  <c r="E42" i="4"/>
  <c r="F42" i="4"/>
  <c r="F41" i="4"/>
  <c r="E41" i="4"/>
  <c r="F113" i="4"/>
  <c r="E113" i="4"/>
  <c r="E114" i="4"/>
  <c r="F114" i="4"/>
  <c r="F107" i="4"/>
  <c r="E107" i="4"/>
  <c r="E115" i="4"/>
  <c r="F115" i="4"/>
  <c r="F116" i="4"/>
  <c r="F109" i="4"/>
  <c r="E109" i="4"/>
  <c r="E108" i="4"/>
  <c r="F108" i="4"/>
  <c r="F110" i="4"/>
  <c r="E110" i="4"/>
  <c r="E104" i="4"/>
  <c r="F104" i="4"/>
  <c r="H15" i="1"/>
  <c r="H14" i="1"/>
  <c r="I14" i="1" s="1"/>
  <c r="D59" i="4" s="1"/>
  <c r="H8" i="1"/>
  <c r="H17" i="1"/>
  <c r="I17" i="1" s="1"/>
  <c r="D62" i="4" s="1"/>
  <c r="H16" i="1"/>
  <c r="I16" i="1" s="1"/>
  <c r="D61" i="4" s="1"/>
  <c r="H12" i="1"/>
  <c r="I12" i="1" s="1"/>
  <c r="D57" i="4" s="1"/>
  <c r="I19" i="1"/>
  <c r="D64" i="4" s="1"/>
  <c r="D85" i="4" s="1"/>
  <c r="D140" i="4" s="1"/>
  <c r="H9" i="1"/>
  <c r="H13" i="1"/>
  <c r="I13" i="1" s="1"/>
  <c r="D58" i="4" s="1"/>
  <c r="H10" i="1"/>
  <c r="I10" i="1" s="1"/>
  <c r="D55" i="4" s="1"/>
  <c r="D150" i="4" l="1"/>
  <c r="F44" i="4"/>
  <c r="E118" i="4"/>
  <c r="E30" i="4"/>
  <c r="F30" i="4"/>
  <c r="F122" i="4"/>
  <c r="F118" i="4"/>
  <c r="E44" i="4"/>
  <c r="D172" i="4"/>
  <c r="E158" i="4"/>
  <c r="F158" i="4"/>
  <c r="F61" i="4"/>
  <c r="E61" i="4"/>
  <c r="D82" i="4"/>
  <c r="F62" i="4"/>
  <c r="E62" i="4"/>
  <c r="D83" i="4"/>
  <c r="E55" i="4"/>
  <c r="F55" i="4"/>
  <c r="D76" i="4"/>
  <c r="D80" i="4"/>
  <c r="F59" i="4"/>
  <c r="E59" i="4"/>
  <c r="E58" i="4"/>
  <c r="F58" i="4"/>
  <c r="D79" i="4"/>
  <c r="E57" i="4"/>
  <c r="F57" i="4"/>
  <c r="D78" i="4"/>
  <c r="E64" i="4"/>
  <c r="F64" i="4"/>
  <c r="D155" i="4"/>
  <c r="H11" i="1"/>
  <c r="I11" i="1" s="1"/>
  <c r="D56" i="4" s="1"/>
  <c r="H18" i="1"/>
  <c r="I18" i="1" s="1"/>
  <c r="D63" i="4" s="1"/>
  <c r="I8" i="1"/>
  <c r="I9" i="1"/>
  <c r="D54" i="4" s="1"/>
  <c r="I15" i="1"/>
  <c r="D60" i="4" s="1"/>
  <c r="D164" i="4" l="1"/>
  <c r="I21" i="1"/>
  <c r="H21" i="1"/>
  <c r="D53" i="4"/>
  <c r="F53" i="4" s="1"/>
  <c r="F172" i="4"/>
  <c r="E150" i="4"/>
  <c r="F150" i="4"/>
  <c r="E172" i="4"/>
  <c r="F164" i="4"/>
  <c r="E164" i="4"/>
  <c r="E85" i="4"/>
  <c r="F85" i="4"/>
  <c r="E54" i="4"/>
  <c r="D75" i="4"/>
  <c r="F54" i="4"/>
  <c r="F78" i="4"/>
  <c r="E78" i="4"/>
  <c r="D133" i="4"/>
  <c r="E76" i="4"/>
  <c r="F76" i="4"/>
  <c r="D131" i="4"/>
  <c r="E80" i="4"/>
  <c r="F80" i="4"/>
  <c r="D135" i="4"/>
  <c r="D74" i="4"/>
  <c r="E53" i="4"/>
  <c r="F63" i="4"/>
  <c r="E63" i="4"/>
  <c r="D84" i="4"/>
  <c r="E56" i="4"/>
  <c r="F56" i="4"/>
  <c r="D77" i="4"/>
  <c r="F82" i="4"/>
  <c r="E82" i="4"/>
  <c r="D137" i="4"/>
  <c r="E83" i="4"/>
  <c r="F83" i="4"/>
  <c r="D138" i="4"/>
  <c r="F60" i="4"/>
  <c r="D81" i="4"/>
  <c r="E60" i="4"/>
  <c r="E79" i="4"/>
  <c r="F79" i="4"/>
  <c r="D134" i="4"/>
  <c r="E122" i="4"/>
  <c r="F155" i="4"/>
  <c r="E155" i="4"/>
  <c r="D169" i="4"/>
  <c r="F133" i="4" l="1"/>
  <c r="E133" i="4"/>
  <c r="F84" i="4"/>
  <c r="E84" i="4"/>
  <c r="D139" i="4"/>
  <c r="E138" i="4"/>
  <c r="F138" i="4"/>
  <c r="E77" i="4"/>
  <c r="F77" i="4"/>
  <c r="D132" i="4"/>
  <c r="D52" i="4"/>
  <c r="D66" i="4" s="1"/>
  <c r="D151" i="4" s="1"/>
  <c r="D152" i="4" s="1"/>
  <c r="D156" i="4" s="1"/>
  <c r="D160" i="4" s="1"/>
  <c r="F75" i="4"/>
  <c r="E75" i="4"/>
  <c r="D130" i="4"/>
  <c r="E74" i="4"/>
  <c r="F74" i="4"/>
  <c r="D129" i="4"/>
  <c r="F137" i="4"/>
  <c r="E137" i="4"/>
  <c r="F140" i="4"/>
  <c r="E140" i="4"/>
  <c r="F131" i="4"/>
  <c r="E131" i="4"/>
  <c r="E135" i="4"/>
  <c r="F135" i="4"/>
  <c r="E81" i="4"/>
  <c r="F81" i="4"/>
  <c r="D136" i="4"/>
  <c r="E134" i="4"/>
  <c r="F134" i="4"/>
  <c r="F169" i="4"/>
  <c r="E169" i="4"/>
  <c r="D73" i="4" l="1"/>
  <c r="D87" i="4" s="1"/>
  <c r="F132" i="4"/>
  <c r="E132" i="4"/>
  <c r="E129" i="4"/>
  <c r="F129" i="4"/>
  <c r="F136" i="4"/>
  <c r="E136" i="4"/>
  <c r="E139" i="4"/>
  <c r="F139" i="4"/>
  <c r="E130" i="4"/>
  <c r="F130" i="4"/>
  <c r="E52" i="4"/>
  <c r="F52" i="4"/>
  <c r="E87" i="4" l="1"/>
  <c r="F87" i="4"/>
  <c r="D69" i="4"/>
  <c r="D67" i="4" s="1"/>
  <c r="D128" i="4"/>
  <c r="D142" i="4" s="1"/>
  <c r="F66" i="4"/>
  <c r="F73" i="4"/>
  <c r="E73" i="4"/>
  <c r="E66" i="4"/>
  <c r="D45" i="4" l="1"/>
  <c r="F142" i="4"/>
  <c r="D23" i="4"/>
  <c r="F23" i="4" s="1"/>
  <c r="F67" i="4"/>
  <c r="F69" i="4"/>
  <c r="F151" i="4"/>
  <c r="E151" i="4"/>
  <c r="D165" i="4"/>
  <c r="F45" i="4"/>
  <c r="E69" i="4"/>
  <c r="F128" i="4"/>
  <c r="E128" i="4"/>
  <c r="D70" i="4" l="1"/>
  <c r="F70" i="4" s="1"/>
  <c r="F152" i="4"/>
  <c r="E152" i="4"/>
  <c r="F165" i="4"/>
  <c r="E165" i="4"/>
  <c r="D166" i="4"/>
  <c r="D170" i="4" s="1"/>
  <c r="E142" i="4"/>
  <c r="D146" i="4"/>
  <c r="F166" i="4" l="1"/>
  <c r="F146" i="4"/>
  <c r="E146" i="4"/>
  <c r="E166" i="4"/>
  <c r="E156" i="4"/>
  <c r="F156" i="4"/>
  <c r="F160" i="4" l="1"/>
  <c r="E160" i="4"/>
  <c r="D174" i="4"/>
  <c r="E174" i="4" l="1"/>
  <c r="F174" i="4"/>
  <c r="L15" i="8"/>
  <c r="M15" i="8" s="1"/>
  <c r="N15" i="8" l="1"/>
  <c r="AH15" i="8"/>
  <c r="AO15"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F84" authorId="0" shapeId="0" xr:uid="{470D1BBF-865C-4B75-BA2E-EFFE0129D91F}">
      <text>
        <r>
          <rPr>
            <b/>
            <sz val="8"/>
            <color indexed="81"/>
            <rFont val="Tahoma"/>
            <family val="2"/>
          </rPr>
          <t>..:</t>
        </r>
        <r>
          <rPr>
            <sz val="8"/>
            <color indexed="81"/>
            <rFont val="Tahoma"/>
            <family val="2"/>
          </rPr>
          <t xml:space="preserve">
Plus .01 to bal.</t>
        </r>
      </text>
    </comment>
    <comment ref="I122" authorId="0" shapeId="0" xr:uid="{286C057B-7794-441A-8A21-403B91A0F54F}">
      <text>
        <r>
          <rPr>
            <b/>
            <sz val="8"/>
            <color indexed="81"/>
            <rFont val="Tahoma"/>
            <family val="2"/>
          </rPr>
          <t>..:</t>
        </r>
        <r>
          <rPr>
            <sz val="8"/>
            <color indexed="81"/>
            <rFont val="Tahoma"/>
            <family val="2"/>
          </rPr>
          <t xml:space="preserve">
Adj to Balance</t>
        </r>
      </text>
    </comment>
    <comment ref="K122" authorId="0" shapeId="0" xr:uid="{1BDC8479-7839-4F7C-9962-D94171B4D935}">
      <text>
        <r>
          <rPr>
            <b/>
            <sz val="8"/>
            <color indexed="81"/>
            <rFont val="Tahoma"/>
            <family val="2"/>
          </rPr>
          <t>..:</t>
        </r>
        <r>
          <rPr>
            <sz val="8"/>
            <color indexed="81"/>
            <rFont val="Tahoma"/>
            <family val="2"/>
          </rPr>
          <t xml:space="preserve">
Adj to Balance</t>
        </r>
      </text>
    </comment>
    <comment ref="D123" authorId="0" shapeId="0" xr:uid="{155388B7-3F3C-4A42-8B62-77F911CFC5C4}">
      <text>
        <r>
          <rPr>
            <b/>
            <sz val="9"/>
            <color indexed="81"/>
            <rFont val="Tahoma"/>
            <family val="2"/>
          </rPr>
          <t>..:</t>
        </r>
        <r>
          <rPr>
            <sz val="9"/>
            <color indexed="81"/>
            <rFont val="Tahoma"/>
            <family val="2"/>
          </rPr>
          <t xml:space="preserve">
adj. to balance</t>
        </r>
      </text>
    </comment>
    <comment ref="F123" authorId="0" shapeId="0" xr:uid="{0D3D7E63-6B99-4060-BA09-C2786D07DA5B}">
      <text>
        <r>
          <rPr>
            <b/>
            <sz val="8"/>
            <color indexed="81"/>
            <rFont val="Tahoma"/>
            <family val="2"/>
          </rPr>
          <t>..:</t>
        </r>
        <r>
          <rPr>
            <sz val="8"/>
            <color indexed="81"/>
            <rFont val="Tahoma"/>
            <family val="2"/>
          </rPr>
          <t xml:space="preserve">
Adj to Balance</t>
        </r>
      </text>
    </comment>
    <comment ref="G123" authorId="0" shapeId="0" xr:uid="{7578D5A4-C3F2-4011-88BF-5D800CE88D0A}">
      <text>
        <r>
          <rPr>
            <b/>
            <sz val="8"/>
            <color indexed="81"/>
            <rFont val="Tahoma"/>
            <family val="2"/>
          </rPr>
          <t>..:</t>
        </r>
        <r>
          <rPr>
            <sz val="8"/>
            <color indexed="81"/>
            <rFont val="Tahoma"/>
            <family val="2"/>
          </rPr>
          <t xml:space="preserve">
Adj to Balance</t>
        </r>
      </text>
    </comment>
    <comment ref="J123" authorId="0" shapeId="0" xr:uid="{54F42B45-0712-479F-8A71-3DF237EB87D6}">
      <text>
        <r>
          <rPr>
            <b/>
            <sz val="8"/>
            <color indexed="81"/>
            <rFont val="Tahoma"/>
            <family val="2"/>
          </rPr>
          <t>..:</t>
        </r>
        <r>
          <rPr>
            <sz val="8"/>
            <color indexed="81"/>
            <rFont val="Tahoma"/>
            <family val="2"/>
          </rPr>
          <t xml:space="preserve">
Adj to Balance</t>
        </r>
      </text>
    </comment>
    <comment ref="I140" authorId="0" shapeId="0" xr:uid="{15FAF995-E89A-47C6-8339-9F5B2547B45A}">
      <text>
        <r>
          <rPr>
            <b/>
            <sz val="8"/>
            <color indexed="81"/>
            <rFont val="Tahoma"/>
            <family val="2"/>
          </rPr>
          <t>..:</t>
        </r>
        <r>
          <rPr>
            <sz val="8"/>
            <color indexed="81"/>
            <rFont val="Tahoma"/>
            <family val="2"/>
          </rPr>
          <t xml:space="preserve">
Adj to Balance</t>
        </r>
      </text>
    </comment>
    <comment ref="K140" authorId="0" shapeId="0" xr:uid="{09AFF7CD-93E5-4068-9768-12E32B0336AD}">
      <text>
        <r>
          <rPr>
            <b/>
            <sz val="8"/>
            <color indexed="81"/>
            <rFont val="Tahoma"/>
            <family val="2"/>
          </rPr>
          <t>..:</t>
        </r>
        <r>
          <rPr>
            <sz val="8"/>
            <color indexed="81"/>
            <rFont val="Tahoma"/>
            <family val="2"/>
          </rPr>
          <t xml:space="preserve">
Adj to Balance</t>
        </r>
      </text>
    </comment>
    <comment ref="L140" authorId="0" shapeId="0" xr:uid="{1BE42D20-EFE3-44F9-A2A3-EE2B2A6A16D9}">
      <text>
        <r>
          <rPr>
            <b/>
            <sz val="8"/>
            <color indexed="81"/>
            <rFont val="Tahoma"/>
            <family val="2"/>
          </rPr>
          <t>..:</t>
        </r>
        <r>
          <rPr>
            <sz val="8"/>
            <color indexed="81"/>
            <rFont val="Tahoma"/>
            <family val="2"/>
          </rPr>
          <t xml:space="preserve">
Adj to Balance</t>
        </r>
      </text>
    </comment>
    <comment ref="D142" authorId="0" shapeId="0" xr:uid="{57120733-A320-4601-8D9F-2D3E1B223D72}">
      <text>
        <r>
          <rPr>
            <b/>
            <sz val="8"/>
            <color indexed="81"/>
            <rFont val="Tahoma"/>
            <family val="2"/>
          </rPr>
          <t>..:</t>
        </r>
        <r>
          <rPr>
            <sz val="8"/>
            <color indexed="81"/>
            <rFont val="Tahoma"/>
            <family val="2"/>
          </rPr>
          <t xml:space="preserve">
Adj to Balance</t>
        </r>
      </text>
    </comment>
    <comment ref="E142" authorId="0" shapeId="0" xr:uid="{8D7925AE-046E-4A01-9F11-2543DD2743B7}">
      <text>
        <r>
          <rPr>
            <b/>
            <sz val="8"/>
            <color indexed="81"/>
            <rFont val="Tahoma"/>
            <family val="2"/>
          </rPr>
          <t>..:</t>
        </r>
        <r>
          <rPr>
            <sz val="8"/>
            <color indexed="81"/>
            <rFont val="Tahoma"/>
            <family val="2"/>
          </rPr>
          <t xml:space="preserve">
Adj to Balance</t>
        </r>
      </text>
    </comment>
    <comment ref="F142" authorId="0" shapeId="0" xr:uid="{038CFDAB-556A-4A2D-997F-A4CD89D152B8}">
      <text>
        <r>
          <rPr>
            <b/>
            <sz val="8"/>
            <color indexed="81"/>
            <rFont val="Tahoma"/>
            <family val="2"/>
          </rPr>
          <t>..:</t>
        </r>
        <r>
          <rPr>
            <sz val="8"/>
            <color indexed="81"/>
            <rFont val="Tahoma"/>
            <family val="2"/>
          </rPr>
          <t xml:space="preserve">
Adj to Balance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MaskDY</author>
    <author>.</author>
  </authors>
  <commentList>
    <comment ref="K7" authorId="0" shapeId="0" xr:uid="{344B6ED1-7737-4C49-9223-3EFBC852067C}">
      <text>
        <r>
          <rPr>
            <b/>
            <sz val="9"/>
            <color indexed="81"/>
            <rFont val="Tahoma"/>
            <family val="2"/>
          </rPr>
          <t>..:</t>
        </r>
        <r>
          <rPr>
            <sz val="9"/>
            <color indexed="81"/>
            <rFont val="Tahoma"/>
            <family val="2"/>
          </rPr>
          <t xml:space="preserve">
TEC 61.059 (l)(2)(B) allows formula funding for Doctoral student’s semester credit hours at HRIs to a maximum of 130 SCH;
</t>
        </r>
      </text>
    </comment>
    <comment ref="Q44" authorId="1" shapeId="0" xr:uid="{0134C799-3637-47BD-AAD8-64EB3C870D85}">
      <text>
        <r>
          <rPr>
            <b/>
            <sz val="10"/>
            <color indexed="81"/>
            <rFont val="Tahoma"/>
            <family val="2"/>
          </rPr>
          <t>NOTE:
Small Class Supplement added by 81st Legislature.</t>
        </r>
      </text>
    </comment>
    <comment ref="Q83" authorId="0" shapeId="0" xr:uid="{F95A9BA9-08C8-438D-ACC5-53FEB920AF60}">
      <text>
        <r>
          <rPr>
            <b/>
            <sz val="9"/>
            <color indexed="81"/>
            <rFont val="Tahoma"/>
            <family val="2"/>
          </rPr>
          <t>..:</t>
        </r>
        <r>
          <rPr>
            <sz val="9"/>
            <color indexed="81"/>
            <rFont val="Tahoma"/>
            <family val="2"/>
          </rPr>
          <t xml:space="preserve">
Added by Spec Prov rider 27-1 in 2015 session for FY 16-17.</t>
        </r>
      </text>
    </comment>
    <comment ref="Q84" authorId="0" shapeId="0" xr:uid="{BA5B464F-1750-4137-AF18-39937F088438}">
      <text>
        <r>
          <rPr>
            <b/>
            <sz val="9"/>
            <color indexed="81"/>
            <rFont val="Tahoma"/>
            <family val="2"/>
          </rPr>
          <t>..:</t>
        </r>
        <r>
          <rPr>
            <sz val="9"/>
            <color indexed="81"/>
            <rFont val="Tahoma"/>
            <family val="2"/>
          </rPr>
          <t xml:space="preserve">
Added by Spec Prov rider 27-1 in 2015 session for FY 16-17.</t>
        </r>
      </text>
    </comment>
    <comment ref="A107" authorId="2" shapeId="0" xr:uid="{CFD11D9C-927C-4814-A6EE-5C3C688CB5F2}">
      <text>
        <r>
          <rPr>
            <b/>
            <sz val="8"/>
            <color indexed="81"/>
            <rFont val="Tahoma"/>
            <family val="2"/>
          </rPr>
          <t>.:</t>
        </r>
        <r>
          <rPr>
            <sz val="8"/>
            <color indexed="81"/>
            <rFont val="Tahoma"/>
            <family val="2"/>
          </rPr>
          <t xml:space="preserve">
Priced at Allied Health rate, since there is no Dental Hygiene category.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Berger, Melitta</author>
  </authors>
  <commentList>
    <comment ref="K20" authorId="0" shapeId="0" xr:uid="{490F33CC-DDE7-4A9F-A129-DD7BEE97E382}">
      <text>
        <r>
          <rPr>
            <b/>
            <sz val="9"/>
            <color indexed="81"/>
            <rFont val="Tahoma"/>
            <family val="2"/>
          </rPr>
          <t>Berger, Melitta:</t>
        </r>
        <r>
          <rPr>
            <sz val="9"/>
            <color indexed="81"/>
            <rFont val="Tahoma"/>
            <family val="2"/>
          </rPr>
          <t xml:space="preserve">
We moved  the 000304 entry of 96 to the 009799 row.</t>
        </r>
      </text>
    </comment>
    <comment ref="J42" authorId="0" shapeId="0" xr:uid="{319EEAB7-F281-44FF-BF27-7B5763C89AA0}">
      <text>
        <r>
          <rPr>
            <b/>
            <sz val="9"/>
            <color indexed="81"/>
            <rFont val="Tahoma"/>
            <family val="2"/>
          </rPr>
          <t>Berger, Melitta:</t>
        </r>
        <r>
          <rPr>
            <sz val="9"/>
            <color indexed="81"/>
            <rFont val="Tahoma"/>
            <family val="2"/>
          </rPr>
          <t xml:space="preserve">
We moved  the 004948 entry of 415 to the 000406 row.</t>
        </r>
      </text>
    </comment>
    <comment ref="K77" authorId="0" shapeId="0" xr:uid="{5366BE02-BAD7-4451-9221-B4766DB66F12}">
      <text>
        <r>
          <rPr>
            <b/>
            <sz val="9"/>
            <color indexed="81"/>
            <rFont val="Tahoma"/>
            <family val="2"/>
          </rPr>
          <t>Berger, Melitta:</t>
        </r>
        <r>
          <rPr>
            <sz val="9"/>
            <color indexed="81"/>
            <rFont val="Tahoma"/>
            <family val="2"/>
          </rPr>
          <t xml:space="preserve">
We moved  the 000411 entry of 95 to the 004951 row.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B8" authorId="0" shapeId="0" xr:uid="{08CE11FF-BD82-46B1-9B1F-E73DE16D8954}">
      <text>
        <r>
          <rPr>
            <b/>
            <sz val="9"/>
            <color indexed="81"/>
            <rFont val="Tahoma"/>
            <family val="2"/>
          </rPr>
          <t>..:</t>
        </r>
        <r>
          <rPr>
            <sz val="9"/>
            <color indexed="81"/>
            <rFont val="Tahoma"/>
            <family val="2"/>
          </rPr>
          <t xml:space="preserve">
Use Whole Sq. Ft.
</t>
        </r>
      </text>
    </comment>
  </commentList>
</comments>
</file>

<file path=xl/sharedStrings.xml><?xml version="1.0" encoding="utf-8"?>
<sst xmlns="http://schemas.openxmlformats.org/spreadsheetml/2006/main" count="2610" uniqueCount="823">
  <si>
    <t>Health-Related Institutions</t>
  </si>
  <si>
    <t>Research Enhancement Formula Funding</t>
  </si>
  <si>
    <t>Percent of Total</t>
  </si>
  <si>
    <t>UT Southwestern Med. Center</t>
  </si>
  <si>
    <t>UTMB at Galveston</t>
  </si>
  <si>
    <t>UTHSC at Houston</t>
  </si>
  <si>
    <t>UTHSC at San Antonio</t>
  </si>
  <si>
    <t>UT M.D. Anderson Cancer</t>
  </si>
  <si>
    <t>UT Health Center at Tyler</t>
  </si>
  <si>
    <t>Texas A&amp;M UHSC</t>
  </si>
  <si>
    <t>Univ North TX HSC</t>
  </si>
  <si>
    <t>Texas Tech Univ HSC</t>
  </si>
  <si>
    <t>Texas Tech Univ HSC at El Paso</t>
  </si>
  <si>
    <t>UT Austin Medical School</t>
  </si>
  <si>
    <t>UT RGV Medical School</t>
  </si>
  <si>
    <t>Total</t>
  </si>
  <si>
    <t>Variable Rate:</t>
  </si>
  <si>
    <t>Infrastructure Formula</t>
  </si>
  <si>
    <t>SPM Predicted</t>
  </si>
  <si>
    <t>Formula</t>
  </si>
  <si>
    <t>Sq. Ft. *</t>
  </si>
  <si>
    <t>Rate</t>
  </si>
  <si>
    <t>Calculation</t>
  </si>
  <si>
    <t>UT Southwestern Medical Center</t>
  </si>
  <si>
    <t>UT M.D. Anderson Cancer Center</t>
  </si>
  <si>
    <t>Totals</t>
  </si>
  <si>
    <t xml:space="preserve">Graduate Medical Education </t>
  </si>
  <si>
    <t>Institution</t>
  </si>
  <si>
    <t>Biennium</t>
  </si>
  <si>
    <t>Sub-Total Public Institutions</t>
  </si>
  <si>
    <t>Baylor College of Medicine</t>
  </si>
  <si>
    <t>Total GME Formula</t>
  </si>
  <si>
    <t xml:space="preserve">Health-Related Institutions </t>
  </si>
  <si>
    <t>UH Medical School</t>
  </si>
  <si>
    <t>* Source:  CBM 00R</t>
  </si>
  <si>
    <t xml:space="preserve"> FY 2024</t>
  </si>
  <si>
    <t xml:space="preserve"> FY 2025</t>
  </si>
  <si>
    <t>FY 2024-25</t>
  </si>
  <si>
    <t>Infrastructure Rate</t>
  </si>
  <si>
    <t>FY 2024</t>
  </si>
  <si>
    <t>FY 2025</t>
  </si>
  <si>
    <t xml:space="preserve">FY 2024-25 Biennium Total </t>
  </si>
  <si>
    <t xml:space="preserve">Notes: </t>
  </si>
  <si>
    <t>Health-Related Institution</t>
  </si>
  <si>
    <t># GME Residents</t>
  </si>
  <si>
    <t>Sam Houston State University Medical School</t>
  </si>
  <si>
    <t>GME Rate:</t>
  </si>
  <si>
    <t xml:space="preserve">Institution Summary of All Formulas </t>
  </si>
  <si>
    <t>Instruction  &amp; Operations</t>
  </si>
  <si>
    <t>Total FY 22-23  Appropriations</t>
  </si>
  <si>
    <t>$ Change</t>
  </si>
  <si>
    <t>% Share of Total I&amp;O, Inf., Res.</t>
  </si>
  <si>
    <t>Pricing / Other Information:</t>
  </si>
  <si>
    <t xml:space="preserve">   I &amp; O Rate Used</t>
  </si>
  <si>
    <t xml:space="preserve">   No. of FTSE </t>
  </si>
  <si>
    <t>Infrastructure</t>
  </si>
  <si>
    <t>Other Information:</t>
  </si>
  <si>
    <t xml:space="preserve">  Predicted Sq. Ft.</t>
  </si>
  <si>
    <t>Research Enhancement</t>
  </si>
  <si>
    <t>Summary by Institution - Regular Formula</t>
  </si>
  <si>
    <t>Total All Institutions - Formula</t>
  </si>
  <si>
    <t>Mission Specific</t>
  </si>
  <si>
    <t>UT M.D. Anderson Cancer - CCO</t>
  </si>
  <si>
    <t>Total All Institutions - Mission Spec.</t>
  </si>
  <si>
    <t>Graduate Medical Education</t>
  </si>
  <si>
    <t>Total All Institutions - GME</t>
  </si>
  <si>
    <t>Baylor Coll. of Medicine - GME</t>
  </si>
  <si>
    <t>Total GME w/BCOM</t>
  </si>
  <si>
    <t>Number of Residents</t>
  </si>
  <si>
    <t>Date of Resident Count</t>
  </si>
  <si>
    <t>Grand Total - All Formulas</t>
  </si>
  <si>
    <t>Total w/ Baylor Coll. Medicine</t>
  </si>
  <si>
    <t>Summary by Formula</t>
  </si>
  <si>
    <t xml:space="preserve">  Totals Regular Formulas</t>
  </si>
  <si>
    <t xml:space="preserve">  Total Regular Formulas</t>
  </si>
  <si>
    <t xml:space="preserve">Texas Tech University Health Sciences Center </t>
  </si>
  <si>
    <t>UT Medical Branch at Galveston</t>
  </si>
  <si>
    <t>UT Health Science Center at Houston</t>
  </si>
  <si>
    <t>UT Health Science Center at San Antonio</t>
  </si>
  <si>
    <t xml:space="preserve">Texas A&amp;M University Health Science Center </t>
  </si>
  <si>
    <t xml:space="preserve">UNT Health Science Center </t>
  </si>
  <si>
    <t xml:space="preserve">Texas Tech University Health Sciences Center at El Paso </t>
  </si>
  <si>
    <t>UT Rio Grande Valley School of Medicine</t>
  </si>
  <si>
    <t>UH College of Medicine</t>
  </si>
  <si>
    <r>
      <t xml:space="preserve">Summary by Formula
</t>
    </r>
    <r>
      <rPr>
        <b/>
        <sz val="8"/>
        <rFont val="Overpass"/>
      </rPr>
      <t>Dollars in Millions</t>
    </r>
  </si>
  <si>
    <t>UT Health Science Center at Tyler</t>
  </si>
  <si>
    <t>UT Austin Dell Medical School</t>
  </si>
  <si>
    <t>Annual Variable Amount</t>
  </si>
  <si>
    <t>Annual Base Fixed Formula</t>
  </si>
  <si>
    <t>Annual Base Amount per Institution</t>
  </si>
  <si>
    <t>Annual Variable Total
(Total expenditures x variable rate)</t>
  </si>
  <si>
    <t>Percent Biennial Change</t>
  </si>
  <si>
    <t>Fall 2020</t>
  </si>
  <si>
    <t xml:space="preserve">  Total All</t>
  </si>
  <si>
    <t>Total All</t>
  </si>
  <si>
    <t>Total w/ Baylor</t>
  </si>
  <si>
    <t>Total w/Baylor</t>
  </si>
  <si>
    <t>Podiatric Residents included above: 9 at UT Health Science Center at San Antonio and 12 at Texas A&amp;M University Health Science Center.</t>
  </si>
  <si>
    <t>FY 22-23 Weighted FTSE</t>
  </si>
  <si>
    <t>FY 24-25 Weighted FTSE</t>
  </si>
  <si>
    <t>2020 Predicted Square Feet</t>
  </si>
  <si>
    <t xml:space="preserve"> 9/1/22*</t>
  </si>
  <si>
    <t>FY 22-23 Rate
$9,622</t>
  </si>
  <si>
    <t>FY 22-23 Rate
$6.14</t>
  </si>
  <si>
    <t>2020 Research Expenditures</t>
  </si>
  <si>
    <t>Total I&amp;O, Infrastructure, Research</t>
  </si>
  <si>
    <t>FY 22-23 Rate
1.17%</t>
  </si>
  <si>
    <t>FY 22-23 Rate
$5,969.88</t>
  </si>
  <si>
    <t>2020 GME Residents</t>
  </si>
  <si>
    <t>Total All Institutions - All Formulas (w/o Baylor)</t>
  </si>
  <si>
    <t xml:space="preserve"> </t>
  </si>
  <si>
    <t>FY 2022 Research Expenditures*</t>
  </si>
  <si>
    <t>2022 Research Expenditures</t>
  </si>
  <si>
    <t xml:space="preserve">* Source: Fall 2022 HRI Space Model </t>
  </si>
  <si>
    <t>Total 2022</t>
  </si>
  <si>
    <t>2022 Predicted Square Feet</t>
  </si>
  <si>
    <t>Fall 2022</t>
  </si>
  <si>
    <t>2022 GME Residents</t>
  </si>
  <si>
    <t>* Source: FY 2022 Research Expenditures from Survey of Total Research Expenditures.</t>
  </si>
  <si>
    <t xml:space="preserve">Annual Funding Per Resident </t>
  </si>
  <si>
    <t>NA</t>
  </si>
  <si>
    <t>FY 24-25 rate from LBB Basis of Legislative Appropriations</t>
  </si>
  <si>
    <t>Basis of Legislative Appropriations</t>
  </si>
  <si>
    <t>FY 24-25 Rate
$6.14</t>
  </si>
  <si>
    <t>FY 24-25 Rate
1.17%</t>
  </si>
  <si>
    <t>FY 24-25 Rate
$5,969.88</t>
  </si>
  <si>
    <t>Basis of Legislative Appropriations 
FY 24-25</t>
  </si>
  <si>
    <t>FY 24-25 Rate
$9,689</t>
  </si>
  <si>
    <t>Clinical Mission Specific</t>
  </si>
  <si>
    <t>Difference</t>
  </si>
  <si>
    <t>Clinical Subtotal</t>
  </si>
  <si>
    <t>Performance-Based Research Mission Specific</t>
  </si>
  <si>
    <t>Texas A&amp;M University Health Science Center</t>
  </si>
  <si>
    <t>University of North Texas Health Science Center</t>
  </si>
  <si>
    <t>Texas Tech University Health Science Center</t>
  </si>
  <si>
    <t>Performance-Based Subtotal</t>
  </si>
  <si>
    <t>GRAND Total</t>
  </si>
  <si>
    <t>Total All Institutions - Mission Specific</t>
  </si>
  <si>
    <t>Clinical Mission Specific Calculations</t>
  </si>
  <si>
    <t>Increase in I&amp;O</t>
  </si>
  <si>
    <t>2022-23
Formula Funding</t>
  </si>
  <si>
    <t>2024-25
Formula Funding</t>
  </si>
  <si>
    <t>Governor</t>
  </si>
  <si>
    <t>2024-25 Appropriations 
(Lower of Governor or Rate Based Amount)</t>
  </si>
  <si>
    <t>Number of Texas Patient Encounters in trauma, primary care, diabetes, heart, psychiatry, and telemedicine</t>
  </si>
  <si>
    <t>Number of Texas Cancer Patients Served</t>
  </si>
  <si>
    <t>Number of cases w/disease diagnoses treated by UTHSCT</t>
  </si>
  <si>
    <t>Number of Texas Patient Encounters *</t>
  </si>
  <si>
    <t>*Note: Final appropriations are based on Fall data for 2022 rather than final data of 674,434.</t>
  </si>
  <si>
    <t>UT Southwestern Medical Center (SP Sec 27.10)</t>
  </si>
  <si>
    <t>2020-21 Formula Total</t>
  </si>
  <si>
    <t>Change</t>
  </si>
  <si>
    <t>2022-23 Formula Total</t>
  </si>
  <si>
    <t>Metric:  Total Research Expenditures</t>
  </si>
  <si>
    <t>Performance Base Match</t>
  </si>
  <si>
    <t>Performance Incentive Match</t>
  </si>
  <si>
    <t>Total Formula Appropriation</t>
  </si>
  <si>
    <t>FORMULA GOVERNOR</t>
  </si>
  <si>
    <t>Governor: 2020-21 GR less CCAP</t>
  </si>
  <si>
    <t>2-Year Average
Increase in Total Research Expenditures</t>
  </si>
  <si>
    <t>Tier 1</t>
  </si>
  <si>
    <t>Tier 2</t>
  </si>
  <si>
    <t>Tier 3</t>
  </si>
  <si>
    <t>Tiered 
Performance
Incentive 
Match</t>
  </si>
  <si>
    <t>Biennial 
Performance 
Base Match + Performance 
Incentive Match</t>
  </si>
  <si>
    <t>Biennial 
Increase</t>
  </si>
  <si>
    <t>Governor: 2022-23 GR less CCAP</t>
  </si>
  <si>
    <t>Annual 
Total Research
Expenditures*</t>
  </si>
  <si>
    <t>3-Year
Rolling Average</t>
  </si>
  <si>
    <t>Session Update 
Compares Base to Base</t>
  </si>
  <si>
    <t>2-Year Average</t>
  </si>
  <si>
    <t>$0-$10M Matched at 25%</t>
  </si>
  <si>
    <t>$10-$20M Matched at 50%</t>
  </si>
  <si>
    <t>$20M+ Matched at 75%</t>
  </si>
  <si>
    <t>UTSWMC</t>
  </si>
  <si>
    <t>Session</t>
  </si>
  <si>
    <t>Fiscal 
Year</t>
  </si>
  <si>
    <t>2-Year Rolling Average</t>
  </si>
  <si>
    <t>Increase</t>
  </si>
  <si>
    <t>Base Rate</t>
  </si>
  <si>
    <t>Annual
Base Match</t>
  </si>
  <si>
    <t xml:space="preserve"> Biennial 
Base Match</t>
  </si>
  <si>
    <t>Change in 
Base Match</t>
  </si>
  <si>
    <t>Min:</t>
  </si>
  <si>
    <t>Max:</t>
  </si>
  <si>
    <t>% Match:</t>
  </si>
  <si>
    <t>$ Match:</t>
  </si>
  <si>
    <t>Total GR Appropriations</t>
  </si>
  <si>
    <t>Max Allowed Increase
5% GR in prior biennium</t>
  </si>
  <si>
    <t>Increase w/ Governor</t>
  </si>
  <si>
    <t>Total Effective Appropriation</t>
  </si>
  <si>
    <t>Increase / Decrease</t>
  </si>
  <si>
    <t>MOF Split, Total Formula</t>
  </si>
  <si>
    <t>%</t>
  </si>
  <si>
    <t>$</t>
  </si>
  <si>
    <t>2016-17</t>
  </si>
  <si>
    <t>2018-19</t>
  </si>
  <si>
    <t>2020-21</t>
  </si>
  <si>
    <t>2022-23</t>
  </si>
  <si>
    <t>2024-25</t>
  </si>
  <si>
    <t>* Research expenditures, excluding the category of state appropriations, as reported in the Survey on Research Expenditures.</t>
  </si>
  <si>
    <t>UT Health Science Center at Houston (SP Sec 27.11)</t>
  </si>
  <si>
    <t>UTHSCH</t>
  </si>
  <si>
    <t>Session 
Year</t>
  </si>
  <si>
    <t>UT Health Science Center at San Antonio (SP Sec 27.12)</t>
  </si>
  <si>
    <t>UTHSCSA</t>
  </si>
  <si>
    <t>Texas A&amp;M University Health Science Center (SP Sec 27.15)</t>
  </si>
  <si>
    <t>Seed Funding</t>
  </si>
  <si>
    <t>$0-$2.5M Matched at 20%</t>
  </si>
  <si>
    <t>$2.5-$5M Matched at 40%</t>
  </si>
  <si>
    <t>$5M+ Matched at 60%</t>
  </si>
  <si>
    <t>TAMUHSC</t>
  </si>
  <si>
    <t xml:space="preserve">* Research expenditures, excluding the category of state appropriations, as reported in the Survey on Research Expenditures.  Additionally, research expenditures exclude Biomedical Advanced Research and Development Authority (BARDA) grant at the Center for Innovation in Advanced Development and Manufacturing (CIADM) for FY 20 ($144,288,842), FY21 ($108,547,312) and FY 22 ($25,214,918). </t>
  </si>
  <si>
    <t>University of North Texas Health Science Center at Fort Worth (SP Sec 27.16)</t>
  </si>
  <si>
    <t>$0-$1.5M Matched at 20%</t>
  </si>
  <si>
    <t>$1.5-$3M Matched at 40%</t>
  </si>
  <si>
    <t>$3M+ Matched at 60%</t>
  </si>
  <si>
    <t>UNTHSC</t>
  </si>
  <si>
    <t>Texas Tech University Health Sciences Center (SP Sec 27.17)</t>
  </si>
  <si>
    <t>Metric:  Federal and Private Research Expenditures</t>
  </si>
  <si>
    <t>Annual 
Total Federal and Private Research
Expenditures*</t>
  </si>
  <si>
    <t>$0-$2.5M Matched at 25%</t>
  </si>
  <si>
    <t>$2.5-$5M Matched at 50%</t>
  </si>
  <si>
    <t>$5M+ Matched at 75%</t>
  </si>
  <si>
    <t>TTUHSC</t>
  </si>
  <si>
    <t>N/A</t>
  </si>
  <si>
    <t>* Research federal and private expenditures, as reported in the Survey on Research Expenditures.</t>
  </si>
  <si>
    <t>Maximum Governor</t>
  </si>
  <si>
    <t>GR Appropriations FY 24-25 (excluding SB8 CCAP Funds)</t>
  </si>
  <si>
    <t>CCAPs (excludes SB8 funds)</t>
  </si>
  <si>
    <t>Net General Revenue</t>
  </si>
  <si>
    <t>5% Cap Amount</t>
  </si>
  <si>
    <t>I &amp; O Formula - Final Formula Run FY 2024-25</t>
  </si>
  <si>
    <t>Recap of FTSE by Category</t>
  </si>
  <si>
    <t>Under Grad    SCH</t>
  </si>
  <si>
    <t>Medical / Dental / Podiatry Headcount</t>
  </si>
  <si>
    <t>Dental Residents Headcount</t>
  </si>
  <si>
    <t>Masters SCH</t>
  </si>
  <si>
    <t>Total Adjusted Doctoral SCH</t>
  </si>
  <si>
    <t>Total Headcount / FTSE</t>
  </si>
  <si>
    <t>Allied Health</t>
  </si>
  <si>
    <t>Biomedical Science</t>
  </si>
  <si>
    <t>Biomedical Informatics</t>
  </si>
  <si>
    <t>Nursing</t>
  </si>
  <si>
    <t>Pharmacy</t>
  </si>
  <si>
    <t>Public Health</t>
  </si>
  <si>
    <t>Dental Education</t>
  </si>
  <si>
    <t>Medical Education</t>
  </si>
  <si>
    <t>Podiatry</t>
  </si>
  <si>
    <t>Total by Category</t>
  </si>
  <si>
    <t>HRI State Funded FTSE</t>
  </si>
  <si>
    <t>Weights</t>
  </si>
  <si>
    <t>The University of Texas Southwestern Medical Center</t>
  </si>
  <si>
    <t>The University of Texas Medical Branch at Galveston</t>
  </si>
  <si>
    <t>The University of Texas Health Science Center at Houston</t>
  </si>
  <si>
    <t>The University of Texas Health Science Center at San Antonio</t>
  </si>
  <si>
    <t>The University of Texas M.D. Anderson Cancer Center</t>
  </si>
  <si>
    <t>The University of Texas Health Center at Tyler</t>
  </si>
  <si>
    <t xml:space="preserve">Texas A&amp;M University System Health Science Center </t>
  </si>
  <si>
    <t>University of North Texas Health Sciences Center at Fort Worth</t>
  </si>
  <si>
    <t xml:space="preserve">Texas Tech University System Health Sciences Center </t>
  </si>
  <si>
    <t>Texas Tech University System Health Sciences Center at El Paso</t>
  </si>
  <si>
    <t>The University of Texas Medical School</t>
  </si>
  <si>
    <t>The University of Texas Rio Grande Valley</t>
  </si>
  <si>
    <t>University of Houston Medical School</t>
  </si>
  <si>
    <t>Total By Discipline</t>
  </si>
  <si>
    <t>Total Number of Programs</t>
  </si>
  <si>
    <t>Total FTSE</t>
  </si>
  <si>
    <t>Per I &amp; O Recap</t>
  </si>
  <si>
    <t>Weighted FTSE</t>
  </si>
  <si>
    <t>Total WFTSE</t>
  </si>
  <si>
    <t>Weighted FTSE by Institution</t>
  </si>
  <si>
    <t>TOTAL</t>
  </si>
  <si>
    <t>Allied Health State Funded FTSE</t>
  </si>
  <si>
    <t>Allied Health - Undergraduate</t>
  </si>
  <si>
    <t>Allied Health- Masters</t>
  </si>
  <si>
    <t>Allied Health- Doctoral</t>
  </si>
  <si>
    <t>Nursing State Funded FTSE</t>
  </si>
  <si>
    <t>Nursing - Undergraduate</t>
  </si>
  <si>
    <t>Nursing - Masters</t>
  </si>
  <si>
    <t>Nursing - Doctoral</t>
  </si>
  <si>
    <t>All HRI Disciplines</t>
  </si>
  <si>
    <t>Formula Dollars - One Year</t>
  </si>
  <si>
    <t>Formula Dollars - Biennium</t>
  </si>
  <si>
    <t>Health Related Institutions - Instruction &amp; Operations Formula - FY 2024-25</t>
  </si>
  <si>
    <t>HRI Basis of Legislative Appropriations - FY 2024-25</t>
  </si>
  <si>
    <t>FTSE Count -  State-Funded - Certified Summer 2022 and Fall 2022; Spring 2023 - No Errors</t>
  </si>
  <si>
    <t>Educational Level</t>
  </si>
  <si>
    <t>Under  graduate</t>
  </si>
  <si>
    <t>Special Professional</t>
  </si>
  <si>
    <t>Graduate</t>
  </si>
  <si>
    <t>Unit of Measure</t>
  </si>
  <si>
    <t>SCH</t>
  </si>
  <si>
    <t>Headcount</t>
  </si>
  <si>
    <t>Annual Instruction and Operations Base Rate</t>
  </si>
  <si>
    <t xml:space="preserve">(1-(FTSE/200)) x </t>
  </si>
  <si>
    <t>Semester Credit Hours to FTSE - Adj. Factor:</t>
  </si>
  <si>
    <t>Rate x FTSE</t>
  </si>
  <si>
    <t>Wt. Codes</t>
  </si>
  <si>
    <t>Summy Codes</t>
  </si>
  <si>
    <t>Medical/Dental/
Podiatry
Headcount</t>
  </si>
  <si>
    <t>M SCH</t>
  </si>
  <si>
    <t>D SCH</t>
  </si>
  <si>
    <t>Doctoral SCH &gt; Cap</t>
  </si>
  <si>
    <t>Weight Per Wt. Table</t>
  </si>
  <si>
    <t>Rate  x   FTSE / Headcount</t>
  </si>
  <si>
    <t>Small Class Size Supplement</t>
  </si>
  <si>
    <r>
      <rPr>
        <b/>
        <sz val="12"/>
        <rFont val="Overpass"/>
      </rPr>
      <t>ANNUAL FUNDING</t>
    </r>
    <r>
      <rPr>
        <sz val="12"/>
        <rFont val="Overpass"/>
      </rPr>
      <t xml:space="preserve">
Total Detailed Formula Calculations</t>
    </r>
  </si>
  <si>
    <t>BIENNIAL</t>
  </si>
  <si>
    <t>College Code</t>
  </si>
  <si>
    <t>Remote Code</t>
  </si>
  <si>
    <t>UT SOUTHWESTERN MEDICAL CENTER #729</t>
  </si>
  <si>
    <t>ME</t>
  </si>
  <si>
    <t>MET</t>
  </si>
  <si>
    <t xml:space="preserve">003660 </t>
  </si>
  <si>
    <t>+</t>
  </si>
  <si>
    <t>=</t>
  </si>
  <si>
    <t>BS</t>
  </si>
  <si>
    <t>BST</t>
  </si>
  <si>
    <t xml:space="preserve">000101 </t>
  </si>
  <si>
    <t>AH</t>
  </si>
  <si>
    <t>AHT</t>
  </si>
  <si>
    <t xml:space="preserve">010019 </t>
  </si>
  <si>
    <t>Total - UT SMC Dallas</t>
  </si>
  <si>
    <t>T</t>
  </si>
  <si>
    <t>UTSWM</t>
  </si>
  <si>
    <t>UT MEDICAL BRANCH AT GALVESTON #723</t>
  </si>
  <si>
    <t>Medical Education - Galveston</t>
  </si>
  <si>
    <t xml:space="preserve">004952 </t>
  </si>
  <si>
    <t xml:space="preserve">000401 </t>
  </si>
  <si>
    <t xml:space="preserve">000403 </t>
  </si>
  <si>
    <t>NU</t>
  </si>
  <si>
    <t>NUT</t>
  </si>
  <si>
    <t xml:space="preserve">000402 </t>
  </si>
  <si>
    <t xml:space="preserve">Public Health - Galveston                  </t>
  </si>
  <si>
    <t>PH</t>
  </si>
  <si>
    <t>PHT</t>
  </si>
  <si>
    <t xml:space="preserve">000425 </t>
  </si>
  <si>
    <t>Total - UT Galveston</t>
  </si>
  <si>
    <t>UTG</t>
  </si>
  <si>
    <t>UT HEALTH SCIENCE CENTER  AT HOUSTON #744</t>
  </si>
  <si>
    <t xml:space="preserve">009348 </t>
  </si>
  <si>
    <t>DE</t>
  </si>
  <si>
    <t>DET</t>
  </si>
  <si>
    <t xml:space="preserve">004951 </t>
  </si>
  <si>
    <t>Biomedical Science - Houston</t>
  </si>
  <si>
    <t xml:space="preserve">004954 </t>
  </si>
  <si>
    <t xml:space="preserve">109348 </t>
  </si>
  <si>
    <t>Biomedical Science - Smithville (879)</t>
  </si>
  <si>
    <t xml:space="preserve">000879 </t>
  </si>
  <si>
    <t>Biomedical Science Total</t>
  </si>
  <si>
    <t>Allied Health (Dental Hyg) - Houston</t>
  </si>
  <si>
    <t xml:space="preserve">000410 </t>
  </si>
  <si>
    <t>Biomedical Informatics - Houston</t>
  </si>
  <si>
    <t>BI</t>
  </si>
  <si>
    <t>HIT</t>
  </si>
  <si>
    <t xml:space="preserve">000203 </t>
  </si>
  <si>
    <t>Biomedical Informatics - Brownsville</t>
  </si>
  <si>
    <t xml:space="preserve">000872 </t>
  </si>
  <si>
    <t>Nursing - Houston</t>
  </si>
  <si>
    <t xml:space="preserve">000201 </t>
  </si>
  <si>
    <t>Nursing - El Paso (876)</t>
  </si>
  <si>
    <t xml:space="preserve">000876 </t>
  </si>
  <si>
    <t>Nursing Total</t>
  </si>
  <si>
    <t>Public Health - Houston</t>
  </si>
  <si>
    <t xml:space="preserve">006956 </t>
  </si>
  <si>
    <t>Public Health - Austin (871)</t>
  </si>
  <si>
    <t xml:space="preserve">000871 </t>
  </si>
  <si>
    <t>Public Health - Brownsville (872)</t>
  </si>
  <si>
    <t>000872</t>
  </si>
  <si>
    <t>Public Health - Dallas (874)</t>
  </si>
  <si>
    <t xml:space="preserve">000874 </t>
  </si>
  <si>
    <t>Public Health - El Paso (876)</t>
  </si>
  <si>
    <t>Public Health - San Antonio (878)</t>
  </si>
  <si>
    <t xml:space="preserve">000878 </t>
  </si>
  <si>
    <t>Public Health Total</t>
  </si>
  <si>
    <t>Total - UT Houston</t>
  </si>
  <si>
    <t>UTH</t>
  </si>
  <si>
    <t>UT HEALTH SCIENCE CENTER  AT SAN ANTONIO #745</t>
  </si>
  <si>
    <t>Medical Education - San Antonio</t>
  </si>
  <si>
    <t xml:space="preserve">003659 </t>
  </si>
  <si>
    <t>Dental Education - San Antonio</t>
  </si>
  <si>
    <t xml:space="preserve">009799 </t>
  </si>
  <si>
    <t>Dental Education - Harlingen (882)</t>
  </si>
  <si>
    <t xml:space="preserve">000882 </t>
  </si>
  <si>
    <t>Dental Education - Laredo (884)</t>
  </si>
  <si>
    <t xml:space="preserve">000304 </t>
  </si>
  <si>
    <t xml:space="preserve">000884 </t>
  </si>
  <si>
    <t>Dental Education Total</t>
  </si>
  <si>
    <t xml:space="preserve">000301 </t>
  </si>
  <si>
    <t>Allied Health - San Antonio (Health Prof)</t>
  </si>
  <si>
    <t xml:space="preserve">000303 </t>
  </si>
  <si>
    <t>Allied Health - Harlingen (882)</t>
  </si>
  <si>
    <t>Allied Health - Laredo (884)</t>
  </si>
  <si>
    <t>Allied Health - San Antonio (Medical)</t>
  </si>
  <si>
    <t xml:space="preserve">000305 </t>
  </si>
  <si>
    <t>Allied Health - Houston (312)</t>
  </si>
  <si>
    <t xml:space="preserve">000312 </t>
  </si>
  <si>
    <t>Allied Health - San Antonio (Dental Hygiene)</t>
  </si>
  <si>
    <t xml:space="preserve">000311 </t>
  </si>
  <si>
    <t>Allied Health Total</t>
  </si>
  <si>
    <t xml:space="preserve">Nursing </t>
  </si>
  <si>
    <t xml:space="preserve">000302 </t>
  </si>
  <si>
    <t xml:space="preserve">Nursing - Laredo (884)                                      </t>
  </si>
  <si>
    <t>Total - UT San Antonio</t>
  </si>
  <si>
    <t>UTSA</t>
  </si>
  <si>
    <t>UT M.D. ANDERSON CANCER CENTER  #506</t>
  </si>
  <si>
    <t xml:space="preserve">025554 </t>
  </si>
  <si>
    <t>Total - UT M. D. Anderson</t>
  </si>
  <si>
    <t>UTMDA</t>
  </si>
  <si>
    <t>UT HEALTH SCIENCE CENTER AT TYLER  #785</t>
  </si>
  <si>
    <t xml:space="preserve">000427 </t>
  </si>
  <si>
    <t xml:space="preserve">Public Health - Tyler                      </t>
  </si>
  <si>
    <t xml:space="preserve">000429 </t>
  </si>
  <si>
    <t>Total - UT Tyler</t>
  </si>
  <si>
    <t>UTHCT</t>
  </si>
  <si>
    <t xml:space="preserve"> TEXAS A&amp;M UNIVERSITY HEALTH SCIENCE CENTER  #709</t>
  </si>
  <si>
    <t>Medical Educ. - College Station</t>
  </si>
  <si>
    <t xml:space="preserve">000080 </t>
  </si>
  <si>
    <t>Medical Educ. - Dallas (850)</t>
  </si>
  <si>
    <t xml:space="preserve">000850 </t>
  </si>
  <si>
    <t>Medical Educ. - Houston Downtown (852)</t>
  </si>
  <si>
    <t xml:space="preserve">000852 </t>
  </si>
  <si>
    <t>Medical Educ. - Round Rock (853)</t>
  </si>
  <si>
    <t xml:space="preserve">000853 </t>
  </si>
  <si>
    <t>Medical Educ. - Temple (854)</t>
  </si>
  <si>
    <t xml:space="preserve">000854 </t>
  </si>
  <si>
    <t>Medical Educ. - Houston North (855)*</t>
  </si>
  <si>
    <t xml:space="preserve">000855 </t>
  </si>
  <si>
    <t>Medical Education Total</t>
  </si>
  <si>
    <t>Dental Education - Baylor Dallas (850)</t>
  </si>
  <si>
    <t xml:space="preserve">000406 </t>
  </si>
  <si>
    <t>Biomed. Sci. - College Station</t>
  </si>
  <si>
    <t xml:space="preserve">000180 </t>
  </si>
  <si>
    <t>Biomed. Sci. - Dallas (850)</t>
  </si>
  <si>
    <t>Biomed. Sci. - Dallas (Dental) (850)</t>
  </si>
  <si>
    <t xml:space="preserve">000417 </t>
  </si>
  <si>
    <t>Biomed. Sci. - Houston (852)</t>
  </si>
  <si>
    <t>Biomed. Sci. - Temple (854)</t>
  </si>
  <si>
    <t>Biomed. Sci. - Houston North (855)*</t>
  </si>
  <si>
    <t>Allied Health - Baylor Dental Hyg (850)</t>
  </si>
  <si>
    <t xml:space="preserve">000405 </t>
  </si>
  <si>
    <t>Nursing - College Station</t>
  </si>
  <si>
    <t xml:space="preserve">000079 </t>
  </si>
  <si>
    <t>Nursing - Round Rock (853)</t>
  </si>
  <si>
    <t>Nursing - McAllen (857)</t>
  </si>
  <si>
    <t xml:space="preserve">000857 </t>
  </si>
  <si>
    <t>Nursing  Total</t>
  </si>
  <si>
    <t>Pharmacy - College Station</t>
  </si>
  <si>
    <t>P</t>
  </si>
  <si>
    <t xml:space="preserve">000088 </t>
  </si>
  <si>
    <t>Pharmacy - Kingsville (856)</t>
  </si>
  <si>
    <t xml:space="preserve">000856 </t>
  </si>
  <si>
    <t>Pharmacy Total</t>
  </si>
  <si>
    <t>PT</t>
  </si>
  <si>
    <t>Public Health - College Station</t>
  </si>
  <si>
    <t xml:space="preserve">000087 </t>
  </si>
  <si>
    <t>Public Health - Dallas (850)</t>
  </si>
  <si>
    <t>Public Health - Austin (851)</t>
  </si>
  <si>
    <t xml:space="preserve">000851 </t>
  </si>
  <si>
    <t>Public Health - Houston (852)</t>
  </si>
  <si>
    <t>Public Health - Round Rock (853)</t>
  </si>
  <si>
    <t>Public Health - Temple (854)</t>
  </si>
  <si>
    <t>Public Health - Houston North (855)*</t>
  </si>
  <si>
    <t>Public Health - McAllen (857)</t>
  </si>
  <si>
    <t>Total - A &amp; M</t>
  </si>
  <si>
    <t>TA&amp;M</t>
  </si>
  <si>
    <t>UNT HEALTH SCIENCE CENTER #763</t>
  </si>
  <si>
    <t xml:space="preserve">000131 </t>
  </si>
  <si>
    <t xml:space="preserve">000133 </t>
  </si>
  <si>
    <t xml:space="preserve">000134 </t>
  </si>
  <si>
    <t>Pharmacy - Ft. Worth</t>
  </si>
  <si>
    <t xml:space="preserve">000136 </t>
  </si>
  <si>
    <t>Medical Education (Osteopathic)</t>
  </si>
  <si>
    <t xml:space="preserve">009768 </t>
  </si>
  <si>
    <t>Total - UNT</t>
  </si>
  <si>
    <t>UNT</t>
  </si>
  <si>
    <t>TEXAS TECH UNIVERSITY HEALTH SCIENCES CENTER #739</t>
  </si>
  <si>
    <t>Med. Educ. - Lubbock</t>
  </si>
  <si>
    <t xml:space="preserve">010674 </t>
  </si>
  <si>
    <t>Med. Educ. - Amarillo (860)</t>
  </si>
  <si>
    <t xml:space="preserve">000860 </t>
  </si>
  <si>
    <t>Med. Educ. - Odessa (864)</t>
  </si>
  <si>
    <t xml:space="preserve">000864 </t>
  </si>
  <si>
    <t>Bio. Med. Sci. - Lubbock</t>
  </si>
  <si>
    <t xml:space="preserve">210674 </t>
  </si>
  <si>
    <t>Bio Med. Sci. - Amarillo (860)</t>
  </si>
  <si>
    <t>Bio Med. Sci. - Abilene (861)</t>
  </si>
  <si>
    <t xml:space="preserve">000861 </t>
  </si>
  <si>
    <t>Allied Health - Lubbock</t>
  </si>
  <si>
    <t xml:space="preserve">000413 </t>
  </si>
  <si>
    <t>Allied Health - Amarillo (860)</t>
  </si>
  <si>
    <t>Allied Health - Midland (863)</t>
  </si>
  <si>
    <t xml:space="preserve">000863 </t>
  </si>
  <si>
    <t>Allied Health - Odessa (864)</t>
  </si>
  <si>
    <t>Nursing  - Lubbock</t>
  </si>
  <si>
    <t xml:space="preserve">110674 </t>
  </si>
  <si>
    <t>Nursing - Abilene (861)</t>
  </si>
  <si>
    <t>Nursing  - Odessa (864)</t>
  </si>
  <si>
    <t>Nursing - Amarillo (860)</t>
  </si>
  <si>
    <t>Pharmacy - Lubbock</t>
  </si>
  <si>
    <t xml:space="preserve">000416 </t>
  </si>
  <si>
    <t>Pharmacy - Amarillo (860)</t>
  </si>
  <si>
    <t>Pharmacy - Abilene (861)</t>
  </si>
  <si>
    <t>Pharmacy - Dallas (866)</t>
  </si>
  <si>
    <t xml:space="preserve">000866 </t>
  </si>
  <si>
    <t>Public Health - Lubbock</t>
  </si>
  <si>
    <t xml:space="preserve">000419 </t>
  </si>
  <si>
    <t xml:space="preserve">Public Health - Amarillo (860)                              </t>
  </si>
  <si>
    <t>Public Health - Abilene (861)</t>
  </si>
  <si>
    <t>Total - Texas Tech</t>
  </si>
  <si>
    <t>TTU</t>
  </si>
  <si>
    <t>TEXAS TECH UNIVERSITY HEALTH SCIENCES CENTER at El Paso</t>
  </si>
  <si>
    <t>Med. Educ. - El Paso</t>
  </si>
  <si>
    <t xml:space="preserve">000418 </t>
  </si>
  <si>
    <t xml:space="preserve">Biomedical Science - El Paso </t>
  </si>
  <si>
    <t xml:space="preserve">000422 </t>
  </si>
  <si>
    <t>Nursing - El Paso (862)</t>
  </si>
  <si>
    <t xml:space="preserve">000420 </t>
  </si>
  <si>
    <t xml:space="preserve">000421 </t>
  </si>
  <si>
    <t>Dental Total</t>
  </si>
  <si>
    <t>Total - Texas Tech at El Paso</t>
  </si>
  <si>
    <t>TTUEP</t>
  </si>
  <si>
    <t>UT AUSTIN DELL MEDICAL SCHOOL</t>
  </si>
  <si>
    <t>Medical Educ. - Austin</t>
  </si>
  <si>
    <t xml:space="preserve">203658 </t>
  </si>
  <si>
    <t>Bio. Med. Sci. - Austin</t>
  </si>
  <si>
    <t>Allied Health - Austin</t>
  </si>
  <si>
    <t>Nursing - Undgrad. - Austin</t>
  </si>
  <si>
    <t>Nursing Undgrad. Total</t>
  </si>
  <si>
    <t>Nursing - Grad. - Austin</t>
  </si>
  <si>
    <t>NG</t>
  </si>
  <si>
    <t>Nursing Grad. Total</t>
  </si>
  <si>
    <t>NGT</t>
  </si>
  <si>
    <t>Pharmacy - Austin</t>
  </si>
  <si>
    <t>Public Health - Austin</t>
  </si>
  <si>
    <t>Total - UT Austin - Med School</t>
  </si>
  <si>
    <t>UTA</t>
  </si>
  <si>
    <t>UT RIO GRANDE VALLEY SCHOOL OF MEDICINE</t>
  </si>
  <si>
    <t>Medical Educ. - Rio Grande Valley</t>
  </si>
  <si>
    <t xml:space="preserve">203599 </t>
  </si>
  <si>
    <t xml:space="preserve">Bio. Med. Sci. </t>
  </si>
  <si>
    <t xml:space="preserve">Allied Health </t>
  </si>
  <si>
    <t>Nursing - Undgrad.</t>
  </si>
  <si>
    <t xml:space="preserve">Nursing - Grad. </t>
  </si>
  <si>
    <t xml:space="preserve">Public Health </t>
  </si>
  <si>
    <t>Podiatry - Rio Grande Valley</t>
  </si>
  <si>
    <t>PO</t>
  </si>
  <si>
    <t xml:space="preserve">303599 </t>
  </si>
  <si>
    <t>Podiatry Total</t>
  </si>
  <si>
    <t>POT</t>
  </si>
  <si>
    <t>Total - UT RGV</t>
  </si>
  <si>
    <t>RGV</t>
  </si>
  <si>
    <t>UH - COLLEGE OF MEDICINE</t>
  </si>
  <si>
    <t>Med. Educ. -</t>
  </si>
  <si>
    <t xml:space="preserve">203652 </t>
  </si>
  <si>
    <t>Total - UH - College Med</t>
  </si>
  <si>
    <t>UH</t>
  </si>
  <si>
    <t>Grand Total I &amp; O Formula Funding</t>
  </si>
  <si>
    <t>BIENNIAL I&amp;O Formula Funding</t>
  </si>
  <si>
    <t>* New remote site code requested for Houston-North, separately from Houston-Downtown, in summer 2022.</t>
  </si>
  <si>
    <t xml:space="preserve">103606 </t>
  </si>
  <si>
    <t>Shading Legend:</t>
  </si>
  <si>
    <t>Discipline is N/A for institution</t>
  </si>
  <si>
    <t>Program Not Authorized by statute</t>
  </si>
  <si>
    <t>$ Recap by Category</t>
  </si>
  <si>
    <t>Auto Update</t>
  </si>
  <si>
    <t>Cross foot</t>
  </si>
  <si>
    <t xml:space="preserve">Recap of FTSE by Institution - Column Totals SCH / Headcount </t>
  </si>
  <si>
    <t>Recap of FTSE by Institution - Column Totals FTSE / Headcount</t>
  </si>
  <si>
    <t>FTSE FY 22-23</t>
  </si>
  <si>
    <t>Biennium Total</t>
  </si>
  <si>
    <t>Recap by Institution - Biennium Dollars</t>
  </si>
  <si>
    <t>FY 2022-23</t>
  </si>
  <si>
    <t>Appropriations</t>
  </si>
  <si>
    <t>Balanced</t>
  </si>
  <si>
    <t>Amount to Summary</t>
  </si>
  <si>
    <t>HRI Funding -- BY 2023, run at 27 Feb 2023 at 16:30</t>
  </si>
  <si>
    <t xml:space="preserve">     SCH from Summer 2022, Fall 2022, Spring 2023 -- Classes A-D and M with flex-entry = 2 are included</t>
  </si>
  <si>
    <t>G</t>
  </si>
  <si>
    <t>H</t>
  </si>
  <si>
    <t>I</t>
  </si>
  <si>
    <t>J</t>
  </si>
  <si>
    <t>K</t>
  </si>
  <si>
    <t>L</t>
  </si>
  <si>
    <t>M</t>
  </si>
  <si>
    <t xml:space="preserve">     P Count from Fall 2022 -- M Count ("Dent") is highest count among the three terms</t>
  </si>
  <si>
    <t>HEADCOUNT</t>
  </si>
  <si>
    <t>doctoral sch greater than the limit</t>
  </si>
  <si>
    <t>undergrad sch</t>
  </si>
  <si>
    <t>masters sch</t>
  </si>
  <si>
    <t>doctoral sch</t>
  </si>
  <si>
    <t>medical/dental professional student</t>
  </si>
  <si>
    <t>dental student</t>
  </si>
  <si>
    <t>podiatry student</t>
  </si>
  <si>
    <t>Doc SCH</t>
  </si>
  <si>
    <t>TOTAL FTE per HRI-FINAL RUN</t>
  </si>
  <si>
    <t>TOTAL FTE per HRI-INITIAL RUN</t>
  </si>
  <si>
    <t>FINAL - INITIAL</t>
  </si>
  <si>
    <t>Percent change</t>
  </si>
  <si>
    <t>Inst</t>
  </si>
  <si>
    <t>College</t>
  </si>
  <si>
    <t>Remote</t>
  </si>
  <si>
    <t>Ug SCH</t>
  </si>
  <si>
    <t>P-Cnt</t>
  </si>
  <si>
    <t>Dent</t>
  </si>
  <si>
    <t>Pod</t>
  </si>
  <si>
    <t>GT Limit</t>
  </si>
  <si>
    <t>FTE</t>
  </si>
  <si>
    <t>I &amp; O Funding Category</t>
  </si>
  <si>
    <t xml:space="preserve">000030 </t>
  </si>
  <si>
    <t xml:space="preserve">UT SOUTHWESTERN MED CTR DALLAS </t>
  </si>
  <si>
    <t xml:space="preserve">UT SW GRAD SCH BIOMED SCI             </t>
  </si>
  <si>
    <t xml:space="preserve">  </t>
  </si>
  <si>
    <t xml:space="preserve">                                </t>
  </si>
  <si>
    <t xml:space="preserve">Biomedical Science - Dallas                       </t>
  </si>
  <si>
    <t xml:space="preserve">UT SOUTHWESTERN MEDICAL SCHOOL        </t>
  </si>
  <si>
    <t xml:space="preserve">Medical Education - Dallas                        </t>
  </si>
  <si>
    <t xml:space="preserve">UT SW SCH OF HEALTH PROF              </t>
  </si>
  <si>
    <t xml:space="preserve">Allied Health - Dallas                            </t>
  </si>
  <si>
    <t xml:space="preserve">000040 </t>
  </si>
  <si>
    <t xml:space="preserve">UT HEALTH SCIENCE CTR/SA </t>
  </si>
  <si>
    <t xml:space="preserve">UT GRAD SCH BIOMED SCI/SA             </t>
  </si>
  <si>
    <t xml:space="preserve">Biomedical Science - San Antonio                  </t>
  </si>
  <si>
    <t xml:space="preserve">UT SCHOOL OF NURSING/SA               </t>
  </si>
  <si>
    <t xml:space="preserve">Nursing - San Antonio                             </t>
  </si>
  <si>
    <t xml:space="preserve">UT SCH OF HEALTH PROF/SA              </t>
  </si>
  <si>
    <t xml:space="preserve">Allied Health - San Antonio                       </t>
  </si>
  <si>
    <t xml:space="preserve">UT HSC SA-LAREDO RESEARCH DIV   </t>
  </si>
  <si>
    <t xml:space="preserve">Allied Health - Laredo (884)                      </t>
  </si>
  <si>
    <t xml:space="preserve">UT DENTAL SCHOOL/ACADEMICS SA         </t>
  </si>
  <si>
    <t xml:space="preserve">Dental Education - San Antonio                    </t>
  </si>
  <si>
    <t xml:space="preserve">Dental Education - Laredo (884)                   </t>
  </si>
  <si>
    <t xml:space="preserve">UT MEDICAL SCHOOL/ACADEMICS SA        </t>
  </si>
  <si>
    <t xml:space="preserve">UTHSC TX  HEAR INST-HOUSTON     </t>
  </si>
  <si>
    <t xml:space="preserve">Allied Health - Houston (312)                     </t>
  </si>
  <si>
    <t xml:space="preserve">UT HSC SA - CL DENTAL HYGIENE         </t>
  </si>
  <si>
    <t xml:space="preserve">Allied Health (Dental Hygiene) - San Antonio      </t>
  </si>
  <si>
    <t xml:space="preserve">UT MEDICAL SCHOOL-SAN ANTONIO         </t>
  </si>
  <si>
    <t xml:space="preserve">Medical Education - San Antonio                   </t>
  </si>
  <si>
    <t xml:space="preserve">UT DENTAL SCHOOL SAN ANTONIO          </t>
  </si>
  <si>
    <t xml:space="preserve">000041 </t>
  </si>
  <si>
    <t xml:space="preserve">BAYLOR COLLEGE OF MEDICINE </t>
  </si>
  <si>
    <t xml:space="preserve">000407 </t>
  </si>
  <si>
    <t xml:space="preserve">BAYLOR COLL MED-GRAD BIOMED SC        </t>
  </si>
  <si>
    <t xml:space="preserve">Biomedical Science - Houston                      </t>
  </si>
  <si>
    <t xml:space="preserve">004949 </t>
  </si>
  <si>
    <t xml:space="preserve">BAYLOR COLL MED-MEDICAL SCHOOL        </t>
  </si>
  <si>
    <t xml:space="preserve">Medical Education - Houston                       </t>
  </si>
  <si>
    <t xml:space="preserve">104949 </t>
  </si>
  <si>
    <t xml:space="preserve">BAYLOR COLL OF MEDICINE/ACAD          </t>
  </si>
  <si>
    <t xml:space="preserve">000089 </t>
  </si>
  <si>
    <t xml:space="preserve">TAMU SYSTEM HLTH SCI CTR </t>
  </si>
  <si>
    <t xml:space="preserve">TAMUS HSC-COL OF NURSING              </t>
  </si>
  <si>
    <t xml:space="preserve">Nursing - College Station                         </t>
  </si>
  <si>
    <t xml:space="preserve">TAMUS HSC-ROUND ROCK CAMPUS     </t>
  </si>
  <si>
    <t xml:space="preserve">Nursing - Round Rock (853)                        </t>
  </si>
  <si>
    <t xml:space="preserve">TAMUS HSC-COLLEGE OF MEDICINE         </t>
  </si>
  <si>
    <t xml:space="preserve">Medical Education - College Station               </t>
  </si>
  <si>
    <t xml:space="preserve">TAMUS HSC-DALLAS CAMPUS         </t>
  </si>
  <si>
    <t xml:space="preserve">Medical Education - Dallas (850)                  </t>
  </si>
  <si>
    <t xml:space="preserve">TAMUS HSC-HOUSTON DOWNTOWN      </t>
  </si>
  <si>
    <t xml:space="preserve">Medical Education - Houston Downtown (852)        </t>
  </si>
  <si>
    <t xml:space="preserve">Medical Education - Round Rock (853)              </t>
  </si>
  <si>
    <t xml:space="preserve">TAMUS HSC-TEMPLE CAMPUS         </t>
  </si>
  <si>
    <t xml:space="preserve">Medical Education - Temple (854)                  </t>
  </si>
  <si>
    <t xml:space="preserve">TAMUS HSC-HOUSTON NORTH         </t>
  </si>
  <si>
    <t xml:space="preserve">Medical Education - Houston North (855)           </t>
  </si>
  <si>
    <t xml:space="preserve">TAMUS HSC-SCH RURAL PUBLIC HLT        </t>
  </si>
  <si>
    <t xml:space="preserve">Public Health - College Station                   </t>
  </si>
  <si>
    <t xml:space="preserve">TAMUS HSC-MCALLEN CAMPUS        </t>
  </si>
  <si>
    <t xml:space="preserve">Public Health - McAllen (857)                     </t>
  </si>
  <si>
    <t xml:space="preserve">TAMUS HSC-COL OF PHARMACY             </t>
  </si>
  <si>
    <t xml:space="preserve">Pharmacy - College Station                        </t>
  </si>
  <si>
    <t xml:space="preserve">TAMUS HSC-KINGSVILLE CAMPUS     </t>
  </si>
  <si>
    <t xml:space="preserve">Pharmacy - Kingsville (856)                       </t>
  </si>
  <si>
    <t xml:space="preserve">TAMUS HSC-COL OF MEDICINE-ACAD        </t>
  </si>
  <si>
    <t xml:space="preserve">                                                  </t>
  </si>
  <si>
    <t xml:space="preserve">TAMUS HSC-BAYLOR CL DN HYGIENE        </t>
  </si>
  <si>
    <t xml:space="preserve">Allied Health (Dental) - Dallas (850)             </t>
  </si>
  <si>
    <t xml:space="preserve">TAMUS HSC-BAYLOR CL DEN ADV ED        </t>
  </si>
  <si>
    <t xml:space="preserve">Dental Education - Dallas (850)                   </t>
  </si>
  <si>
    <t xml:space="preserve">Biomedical Science (Dental) - Dallas (850)        </t>
  </si>
  <si>
    <t xml:space="preserve">004948 </t>
  </si>
  <si>
    <t xml:space="preserve">TAMUS HSC-BAYLOR CL DENTAL SCH        </t>
  </si>
  <si>
    <t xml:space="preserve">000130 </t>
  </si>
  <si>
    <t xml:space="preserve">UNT HEALTH SCIENCE CENTER </t>
  </si>
  <si>
    <t xml:space="preserve">UNT SCH BIOMED SCIENCES               </t>
  </si>
  <si>
    <t xml:space="preserve">Biomedical Science - Ft. Worth                    </t>
  </si>
  <si>
    <t xml:space="preserve">UNT SCH OF HEALTH PROFESSIONS         </t>
  </si>
  <si>
    <t xml:space="preserve">Allied Health - Ft. Worth                         </t>
  </si>
  <si>
    <t xml:space="preserve">UNT SCHOOL OF PUBLIC HEALTH           </t>
  </si>
  <si>
    <t xml:space="preserve">Public Health - Ft. Worth                         </t>
  </si>
  <si>
    <t xml:space="preserve">UNT SCHOOL OF PHARMACY                </t>
  </si>
  <si>
    <t xml:space="preserve">Pharmacy - Ft. Worth                              </t>
  </si>
  <si>
    <t xml:space="preserve">TEX COL OSTEOPATHIC MEDICINE          </t>
  </si>
  <si>
    <t xml:space="preserve">Medical Education - Ft. Worth                     </t>
  </si>
  <si>
    <t xml:space="preserve">000412 </t>
  </si>
  <si>
    <t xml:space="preserve">TEXAS TECH UNIV HLTH SCI CTR </t>
  </si>
  <si>
    <t xml:space="preserve">TX TECH HSC SCH OF ALLIED HLTH        </t>
  </si>
  <si>
    <t xml:space="preserve">Allied Health - Lubbock                           </t>
  </si>
  <si>
    <t xml:space="preserve">TX TECH HSC-AMARILLO            </t>
  </si>
  <si>
    <t xml:space="preserve">Allied Health - Amarillo (860)                    </t>
  </si>
  <si>
    <t xml:space="preserve">TX TECH HSC-MIDLAND             </t>
  </si>
  <si>
    <t xml:space="preserve">Allied Health - Midland (863)                     </t>
  </si>
  <si>
    <t xml:space="preserve">TX TECH HSC-ODESSA              </t>
  </si>
  <si>
    <t xml:space="preserve">Allied Health - Odessa (864)                      </t>
  </si>
  <si>
    <t xml:space="preserve">TX TECH HSC SCH OF PHARMACY           </t>
  </si>
  <si>
    <t xml:space="preserve">Pharmacy - Lubbock                                </t>
  </si>
  <si>
    <t xml:space="preserve">Pharmacy - Amarillo (860)                         </t>
  </si>
  <si>
    <t xml:space="preserve">TX TECH HSC-ABILENE             </t>
  </si>
  <si>
    <t xml:space="preserve">Pharmacy - Abilene (861)                          </t>
  </si>
  <si>
    <t xml:space="preserve">TTU HSC-DALLAS PHARM CLINIC PL  </t>
  </si>
  <si>
    <t xml:space="preserve">Pharmacy - Dallas (866)                           </t>
  </si>
  <si>
    <t xml:space="preserve">TTHSC DEPT OF PUBLIC HEALTH           </t>
  </si>
  <si>
    <t xml:space="preserve">Public Health                                     </t>
  </si>
  <si>
    <t xml:space="preserve">Public Health - Abilene (861)                     </t>
  </si>
  <si>
    <t xml:space="preserve">TX TECH U HSC SCH OF MEDICINE         </t>
  </si>
  <si>
    <t xml:space="preserve">Medical Education - Lubbock                       </t>
  </si>
  <si>
    <t xml:space="preserve">Medical Education - Amarillo (860)                </t>
  </si>
  <si>
    <t xml:space="preserve">Medical Education - Odessa (864)                  </t>
  </si>
  <si>
    <t xml:space="preserve">TX TECH U HSC SCH OF NURSING          </t>
  </si>
  <si>
    <t xml:space="preserve">Nursing - Lubbock                                 </t>
  </si>
  <si>
    <t xml:space="preserve">Nursing - Abilene (861)                           </t>
  </si>
  <si>
    <t xml:space="preserve">Nursing - Odessa (864)                            </t>
  </si>
  <si>
    <t xml:space="preserve">TTU HSC GRAD SCH BIOMED SCI           </t>
  </si>
  <si>
    <t xml:space="preserve">Biomedical Science - Lubbock                      </t>
  </si>
  <si>
    <t xml:space="preserve">Biomedical Science - Amarillo (860)               </t>
  </si>
  <si>
    <t xml:space="preserve">Biomedical Science - Abilene (861)                </t>
  </si>
  <si>
    <t xml:space="preserve">000862 </t>
  </si>
  <si>
    <t xml:space="preserve">TX TECH HSC-EL PASO </t>
  </si>
  <si>
    <t xml:space="preserve">TTHSC EP PAUL L FOSTER SCH OF         </t>
  </si>
  <si>
    <t xml:space="preserve">Medical Education                                 </t>
  </si>
  <si>
    <t xml:space="preserve">TTHSC EP GAYLE G HUNT SCH NURS        </t>
  </si>
  <si>
    <t xml:space="preserve">Nursing                                           </t>
  </si>
  <si>
    <t xml:space="preserve">WOODY L HUNT SCH OF DENTAL MED        </t>
  </si>
  <si>
    <t xml:space="preserve">Dental Medicine                                   </t>
  </si>
  <si>
    <t xml:space="preserve">TTUHSC EP GRAD SCH BIOMED SCI         </t>
  </si>
  <si>
    <t xml:space="preserve">Biomedical Science - El Paso                      </t>
  </si>
  <si>
    <t xml:space="preserve">011618 </t>
  </si>
  <si>
    <t xml:space="preserve">UT HEALTH SCI CENTER-HOUSTON </t>
  </si>
  <si>
    <t xml:space="preserve">UT SCHOOL OF NURSING/HOUSTON          </t>
  </si>
  <si>
    <t xml:space="preserve">Nursing - Houston                                 </t>
  </si>
  <si>
    <t xml:space="preserve">UT SCH BIOMED INFORMATICS/HOUS        </t>
  </si>
  <si>
    <t xml:space="preserve">Allied Health (Informatics) - Houston             </t>
  </si>
  <si>
    <t xml:space="preserve">UT DENTAL ACA HOU ALLIED HLTH         </t>
  </si>
  <si>
    <t xml:space="preserve">Allied Health (Dental) - Houston                  </t>
  </si>
  <si>
    <t xml:space="preserve">000411 </t>
  </si>
  <si>
    <t xml:space="preserve">UT DENTAL BRANCH/ACAD-HOUSTON         </t>
  </si>
  <si>
    <t xml:space="preserve">Dental Education - Houston                        </t>
  </si>
  <si>
    <t xml:space="preserve">UT DENTAL SCHOOL-HOUSTON              </t>
  </si>
  <si>
    <t xml:space="preserve">UT GRAD SCH BIOMED SCI/HOUSTON        </t>
  </si>
  <si>
    <t xml:space="preserve">UT SCH OF PUBLIC HLTH/HOUSTON         </t>
  </si>
  <si>
    <t xml:space="preserve">Public Health - Houston                           </t>
  </si>
  <si>
    <t xml:space="preserve">UTHSC HOUSTON-AUSTIN            </t>
  </si>
  <si>
    <t xml:space="preserve">Public Health - Austin (871)                      </t>
  </si>
  <si>
    <t xml:space="preserve">UTHSC HOUSTON-BROWNSVILLE RAHC  </t>
  </si>
  <si>
    <t xml:space="preserve">Public Health - Brownsville (872)                 </t>
  </si>
  <si>
    <t xml:space="preserve">UTHSC HOUSTON-DALLAS            </t>
  </si>
  <si>
    <t xml:space="preserve">Public Health - Dallas (874)                      </t>
  </si>
  <si>
    <t xml:space="preserve">UTHSC HOUSTON-EL PASO           </t>
  </si>
  <si>
    <t xml:space="preserve">Public Health - El Paso (876)                     </t>
  </si>
  <si>
    <t xml:space="preserve">UTHSC HOUSTON-SAN ANTONIO       </t>
  </si>
  <si>
    <t xml:space="preserve">Public Health - San Antonio (878)                 </t>
  </si>
  <si>
    <t xml:space="preserve">UT MEDICAL SCHOOL-HOUSTON             </t>
  </si>
  <si>
    <t xml:space="preserve">UT MEDICAL SCHOOL/ACAD-HOUSTON        </t>
  </si>
  <si>
    <t xml:space="preserve">UT M.D. ANDERSON CANCER CENTER </t>
  </si>
  <si>
    <t xml:space="preserve">UT M.D. ANDERSON CANCER CENTER        </t>
  </si>
  <si>
    <t xml:space="preserve">Allied Health - Houston                           </t>
  </si>
  <si>
    <t xml:space="preserve">042439 </t>
  </si>
  <si>
    <t xml:space="preserve">UT HEALTH SCI CTR AT TYLER </t>
  </si>
  <si>
    <t xml:space="preserve">UTHSCT MED BIOL SCIENCES              </t>
  </si>
  <si>
    <t xml:space="preserve">Biomedical Science                                </t>
  </si>
  <si>
    <t xml:space="preserve">UTHSCT SCH COMM AND RURAL HLTH        </t>
  </si>
  <si>
    <t xml:space="preserve">Public Health - Tyler                             </t>
  </si>
  <si>
    <t xml:space="preserve">SAM HOUSTON STATE UNIVERSITY M </t>
  </si>
  <si>
    <t xml:space="preserve">SAM HOUSTON STATE UNIVERSITY M        </t>
  </si>
  <si>
    <t xml:space="preserve">104952 </t>
  </si>
  <si>
    <t xml:space="preserve">UT MEDICAL BRANCH GALVESTON </t>
  </si>
  <si>
    <t xml:space="preserve">UT GRAD SCH BIOMED SCI/GALV           </t>
  </si>
  <si>
    <t xml:space="preserve">Biomedical Science - Galveston                    </t>
  </si>
  <si>
    <t xml:space="preserve">UT SCHOOL OF NURSING/GALV             </t>
  </si>
  <si>
    <t xml:space="preserve">Nursing - Galveston                               </t>
  </si>
  <si>
    <t xml:space="preserve">UT SCH OF HEALTH PROF/GALV            </t>
  </si>
  <si>
    <t xml:space="preserve">Allied Health - Galveston                         </t>
  </si>
  <si>
    <t xml:space="preserve">UT SCH OF PUBLIC HEALTH/GALV          </t>
  </si>
  <si>
    <t xml:space="preserve">Public Health - Galveston                         </t>
  </si>
  <si>
    <t xml:space="preserve">UT MEDICAL SCHOOL-GALVESTON           </t>
  </si>
  <si>
    <t xml:space="preserve">Medical Education - Galveston                     </t>
  </si>
  <si>
    <t xml:space="preserve">UTRGV - MEDICAL SCHOOL </t>
  </si>
  <si>
    <t xml:space="preserve">UTRGV - MEDICAL SCHOOL                </t>
  </si>
  <si>
    <t xml:space="preserve">UTRGV - PODIATRY SCHOOL               </t>
  </si>
  <si>
    <t xml:space="preserve">UNIVERSITY OF HOUSTON MEDICAL </t>
  </si>
  <si>
    <t xml:space="preserve">UNIVERSITY OF HOUSTON MEDICAL         </t>
  </si>
  <si>
    <t xml:space="preserve">UT AUSTIN DELL MEDICAL SCHOOL </t>
  </si>
  <si>
    <t xml:space="preserve">UT AUSTIN DELL MEDICAL SCHOOL         </t>
  </si>
  <si>
    <t>TEC 61.059 (l)(2)(B) allows formula funding for Doctoral students' semester credit hours at HRIs to a maximum of 130 SCH.</t>
  </si>
  <si>
    <t>FINAL</t>
  </si>
  <si>
    <t>INITIAL</t>
  </si>
  <si>
    <t>Source:  Texas Higher Education Coordinating Board - 27 Feb 2023</t>
  </si>
  <si>
    <t>Generated from SASserver\FormFund\BY 2023\HRI\HProc22new.sas - HProcM21.sas - Simple.sas</t>
  </si>
  <si>
    <t>Final Formula Run FY 24-25</t>
  </si>
  <si>
    <t>Appropriations Act FY 22-23</t>
  </si>
  <si>
    <t>Category</t>
  </si>
  <si>
    <t>Wt. Code</t>
  </si>
  <si>
    <t>Weight</t>
  </si>
  <si>
    <t>Small Class Size Supp. - Rate</t>
  </si>
  <si>
    <t>Cost of One Student</t>
  </si>
  <si>
    <t>Nursing - Graduate</t>
  </si>
  <si>
    <t>Class size</t>
  </si>
  <si>
    <t>SHSU</t>
  </si>
  <si>
    <t>SAM HOUSTON STATE UNIVERSITY College of Osteopathic Medicine</t>
  </si>
  <si>
    <t>Total - SHSU College of Medicine</t>
  </si>
  <si>
    <t>Sam Houston State University College of Osteopathic Medicine</t>
  </si>
  <si>
    <t>Sam Houston State Univ College of Osteopathic Medicine</t>
  </si>
  <si>
    <t>*Note: Final TTUHSCEP appropriations are based on Fall data for 2022 rather than final data of 674,434.</t>
  </si>
  <si>
    <t>Total SB 30 Supplemental funding for Health-Related Institutions is $64,819,604.</t>
  </si>
  <si>
    <t>Total FY 22-23 Appropriations + Supplemental SB30</t>
  </si>
  <si>
    <r>
      <t xml:space="preserve">2022-23 All Funds
</t>
    </r>
    <r>
      <rPr>
        <b/>
        <i/>
        <sz val="11"/>
        <color theme="1"/>
        <rFont val="Overpass"/>
      </rPr>
      <t>#Encounters/Cases</t>
    </r>
  </si>
  <si>
    <t>2024-25 All Funds
#Encounters/Cases</t>
  </si>
  <si>
    <t>Appropriated   2022-23 All Funds</t>
  </si>
  <si>
    <t>2024-25 All Funds</t>
  </si>
  <si>
    <t>Appropriated + Supplemental (SB30) 2022-23    All 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</si>
</sst>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00000%"/>
    <numFmt numFmtId="166" formatCode="_(&quot;$&quot;* #,##0_);_(&quot;$&quot;* \(#,##0\);_(&quot;$&quot;* &quot;-&quot;??_);_(@_)"/>
    <numFmt numFmtId="167" formatCode="&quot;$&quot;#,##0.000000000000_);\(&quot;$&quot;#,##0.000000000000\)"/>
    <numFmt numFmtId="168" formatCode="_(&quot;$&quot;* #,##0.0000000000000_);_(&quot;$&quot;* \(#,##0.0000000000000\);_(&quot;$&quot;* &quot;-&quot;????????????_);_(@_)"/>
    <numFmt numFmtId="169" formatCode="m/d/yy;@"/>
    <numFmt numFmtId="170" formatCode="#,##0.0%_);\(#,##0.0%\)"/>
    <numFmt numFmtId="171" formatCode="0.0000000000000000%"/>
    <numFmt numFmtId="172" formatCode="#,##0.00%_);\(#,##0.00%\)"/>
    <numFmt numFmtId="173" formatCode="_(&quot;$&quot;* #,##0.0_);_(&quot;$&quot;* \(#,##0.0\);_(&quot;$&quot;* &quot;-&quot;??_);_(@_)"/>
    <numFmt numFmtId="174" formatCode="_(* #,##0.0_);_(* \(#,##0.0\);_(* &quot;-&quot;?_);_(@_)"/>
    <numFmt numFmtId="175" formatCode="_(* #,##0.0_);_(* \(#,##0.0\);_(* &quot;-&quot;_);_(@_)"/>
    <numFmt numFmtId="176" formatCode="_(* #,##0_);_(* \(#,##0\);_(* &quot;-&quot;??_);_(@_)"/>
    <numFmt numFmtId="177" formatCode="_(&quot;$&quot;* #,##0.00_);_(&quot;$&quot;* \(#,##0.00\);_(&quot;$&quot;* &quot;-&quot;_);_(@_)"/>
    <numFmt numFmtId="178" formatCode="_(* #,##0.000_);_(* \(#,##0.000\);_(* &quot;-&quot;??_);_(@_)"/>
    <numFmt numFmtId="179" formatCode="&quot;$&quot;#,##0"/>
    <numFmt numFmtId="180" formatCode="000000"/>
    <numFmt numFmtId="181" formatCode="0_)"/>
    <numFmt numFmtId="182" formatCode="0.000_)"/>
    <numFmt numFmtId="183" formatCode="0.000"/>
  </numFmts>
  <fonts count="70">
    <font>
      <sz val="10"/>
      <name val="Arial"/>
      <family val="2"/>
    </font>
    <font>
      <sz val="11"/>
      <color theme="1"/>
      <name val="Calibri"/>
      <family val="2"/>
      <scheme val="minor"/>
    </font>
    <font>
      <sz val="11"/>
      <color theme="1"/>
      <name val="Calibri"/>
      <family val="2"/>
      <scheme val="minor"/>
    </font>
    <font>
      <sz val="10"/>
      <name val="Arial"/>
      <family val="2"/>
    </font>
    <font>
      <sz val="12"/>
      <name val="Arial"/>
      <family val="2"/>
    </font>
    <font>
      <u/>
      <sz val="10"/>
      <color indexed="12"/>
      <name val="Arial"/>
      <family val="2"/>
    </font>
    <font>
      <b/>
      <sz val="9"/>
      <color indexed="81"/>
      <name val="Tahoma"/>
      <family val="2"/>
    </font>
    <font>
      <sz val="9"/>
      <color indexed="81"/>
      <name val="Tahoma"/>
      <family val="2"/>
    </font>
    <font>
      <sz val="8"/>
      <name val="Arial"/>
      <family val="2"/>
    </font>
    <font>
      <b/>
      <sz val="11"/>
      <name val="Overpass"/>
    </font>
    <font>
      <sz val="10"/>
      <name val="Overpass"/>
    </font>
    <font>
      <sz val="11"/>
      <name val="Overpass"/>
    </font>
    <font>
      <b/>
      <sz val="10"/>
      <name val="Overpass"/>
    </font>
    <font>
      <u/>
      <sz val="10"/>
      <color indexed="12"/>
      <name val="Overpass"/>
    </font>
    <font>
      <sz val="10"/>
      <color rgb="FFFF0000"/>
      <name val="Overpass"/>
    </font>
    <font>
      <sz val="10"/>
      <name val="Arial"/>
      <family val="2"/>
    </font>
    <font>
      <vertAlign val="superscript"/>
      <sz val="10"/>
      <name val="Overpass"/>
    </font>
    <font>
      <b/>
      <sz val="8"/>
      <name val="Overpass"/>
    </font>
    <font>
      <sz val="10"/>
      <color theme="0"/>
      <name val="Overpass"/>
    </font>
    <font>
      <sz val="10"/>
      <color theme="8"/>
      <name val="Overpass"/>
    </font>
    <font>
      <sz val="12"/>
      <name val="Overpass"/>
    </font>
    <font>
      <sz val="11"/>
      <color theme="1"/>
      <name val="Overpass"/>
    </font>
    <font>
      <b/>
      <sz val="11"/>
      <color theme="1"/>
      <name val="Overpass"/>
    </font>
    <font>
      <b/>
      <i/>
      <sz val="11"/>
      <color theme="1"/>
      <name val="Overpass"/>
    </font>
    <font>
      <i/>
      <sz val="11"/>
      <color theme="1"/>
      <name val="Overpass"/>
    </font>
    <font>
      <b/>
      <sz val="10"/>
      <color theme="1"/>
      <name val="Overpass"/>
    </font>
    <font>
      <sz val="10"/>
      <color theme="1"/>
      <name val="Overpass"/>
    </font>
    <font>
      <b/>
      <sz val="10"/>
      <color theme="0"/>
      <name val="Overpass"/>
    </font>
    <font>
      <b/>
      <u/>
      <sz val="10"/>
      <color theme="1"/>
      <name val="Overpass"/>
    </font>
    <font>
      <i/>
      <sz val="10"/>
      <color theme="1"/>
      <name val="Overpass"/>
    </font>
    <font>
      <sz val="12"/>
      <name val="Garamond"/>
      <family val="1"/>
    </font>
    <font>
      <sz val="10"/>
      <color rgb="FFC00000"/>
      <name val="Overpass"/>
    </font>
    <font>
      <b/>
      <sz val="16"/>
      <name val="Overpass"/>
    </font>
    <font>
      <b/>
      <sz val="12"/>
      <name val="Overpass"/>
    </font>
    <font>
      <sz val="18"/>
      <color rgb="FFFF0000"/>
      <name val="Overpass"/>
    </font>
    <font>
      <b/>
      <sz val="9"/>
      <name val="Overpass"/>
    </font>
    <font>
      <b/>
      <sz val="10"/>
      <color rgb="FFC00000"/>
      <name val="Overpass"/>
    </font>
    <font>
      <i/>
      <sz val="10"/>
      <name val="Overpass"/>
    </font>
    <font>
      <i/>
      <sz val="10"/>
      <color rgb="FFC00000"/>
      <name val="Overpass"/>
    </font>
    <font>
      <sz val="12"/>
      <color theme="1"/>
      <name val="Arial"/>
      <family val="2"/>
    </font>
    <font>
      <sz val="20"/>
      <color rgb="FFFF0000"/>
      <name val="Overpass"/>
    </font>
    <font>
      <sz val="10"/>
      <color theme="1"/>
      <name val="Arial"/>
      <family val="2"/>
    </font>
    <font>
      <sz val="24"/>
      <color rgb="FFFF0000"/>
      <name val="Overpass"/>
    </font>
    <font>
      <sz val="12"/>
      <color indexed="8"/>
      <name val="Overpass"/>
    </font>
    <font>
      <b/>
      <sz val="12"/>
      <color theme="1"/>
      <name val="Overpass"/>
    </font>
    <font>
      <b/>
      <sz val="12"/>
      <color indexed="8"/>
      <name val="Overpass"/>
    </font>
    <font>
      <b/>
      <u/>
      <sz val="12"/>
      <name val="Overpass"/>
    </font>
    <font>
      <b/>
      <sz val="8"/>
      <color indexed="81"/>
      <name val="Tahoma"/>
      <family val="2"/>
    </font>
    <font>
      <sz val="8"/>
      <color indexed="81"/>
      <name val="Tahoma"/>
      <family val="2"/>
    </font>
    <font>
      <sz val="18"/>
      <name val="Overpass"/>
    </font>
    <font>
      <sz val="14"/>
      <name val="Overpass"/>
    </font>
    <font>
      <b/>
      <sz val="14"/>
      <name val="Overpass"/>
    </font>
    <font>
      <b/>
      <sz val="18"/>
      <name val="Overpass"/>
    </font>
    <font>
      <sz val="12"/>
      <color rgb="FFFF0000"/>
      <name val="Overpass"/>
    </font>
    <font>
      <sz val="11"/>
      <color theme="1"/>
      <name val="Calibri"/>
      <family val="2"/>
    </font>
    <font>
      <b/>
      <sz val="18"/>
      <color theme="1"/>
      <name val="Calibri"/>
      <family val="2"/>
    </font>
    <font>
      <sz val="11"/>
      <name val="Arial"/>
      <family val="2"/>
    </font>
    <font>
      <sz val="11"/>
      <color rgb="FFFF0000"/>
      <name val="Calibri"/>
      <family val="2"/>
    </font>
    <font>
      <sz val="12"/>
      <color theme="1"/>
      <name val="Overpass"/>
    </font>
    <font>
      <sz val="11"/>
      <color rgb="FFFF0000"/>
      <name val="Arial"/>
      <family val="2"/>
    </font>
    <font>
      <b/>
      <sz val="22"/>
      <color rgb="FFFF0000"/>
      <name val="Overpass"/>
    </font>
    <font>
      <sz val="10"/>
      <color rgb="FFFF0000"/>
      <name val="Arial"/>
      <family val="2"/>
    </font>
    <font>
      <sz val="9"/>
      <name val="Overpass"/>
    </font>
    <font>
      <u/>
      <sz val="12"/>
      <name val="Overpass"/>
    </font>
    <font>
      <b/>
      <sz val="10"/>
      <color indexed="81"/>
      <name val="Tahoma"/>
      <family val="2"/>
    </font>
    <font>
      <b/>
      <sz val="11"/>
      <color theme="1"/>
      <name val="Calibri"/>
      <family val="2"/>
    </font>
    <font>
      <sz val="9"/>
      <color theme="1"/>
      <name val="Calibri"/>
      <family val="2"/>
    </font>
    <font>
      <sz val="8"/>
      <color theme="1"/>
      <name val="Calibri"/>
      <family val="2"/>
    </font>
    <font>
      <sz val="10"/>
      <color indexed="8"/>
      <name val="Overpass"/>
    </font>
    <font>
      <sz val="10"/>
      <color indexed="12"/>
      <name val="Overpass"/>
    </font>
  </fonts>
  <fills count="33">
    <fill>
      <patternFill patternType="none"/>
    </fill>
    <fill>
      <patternFill patternType="gray125"/>
    </fill>
    <fill>
      <patternFill patternType="solid">
        <fgColor indexed="9"/>
        <bgColor indexed="64"/>
      </patternFill>
    </fill>
    <fill>
      <patternFill patternType="solid">
        <fgColor rgb="FF92D050"/>
        <bgColor indexed="64"/>
      </patternFill>
    </fill>
    <fill>
      <patternFill patternType="solid">
        <fgColor rgb="FFCCFF99"/>
        <bgColor indexed="64"/>
      </patternFill>
    </fill>
    <fill>
      <patternFill patternType="solid">
        <fgColor theme="0"/>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rgb="FF002060"/>
        <bgColor indexed="64"/>
      </patternFill>
    </fill>
    <fill>
      <patternFill patternType="solid">
        <fgColor theme="0" tint="-4.9989318521683403E-2"/>
        <bgColor indexed="64"/>
      </patternFill>
    </fill>
    <fill>
      <patternFill patternType="solid">
        <fgColor rgb="FF1DC4FF"/>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rgb="FF79DCFF"/>
        <bgColor indexed="64"/>
      </patternFill>
    </fill>
    <fill>
      <patternFill patternType="solid">
        <fgColor theme="0"/>
        <bgColor indexed="29"/>
      </patternFill>
    </fill>
    <fill>
      <patternFill patternType="solid">
        <fgColor indexed="26"/>
        <bgColor indexed="26"/>
      </patternFill>
    </fill>
    <fill>
      <patternFill patternType="solid">
        <fgColor rgb="FF00B0F0"/>
        <bgColor indexed="64"/>
      </patternFill>
    </fill>
    <fill>
      <patternFill patternType="solid">
        <fgColor rgb="FF92D050"/>
        <bgColor indexed="29"/>
      </patternFill>
    </fill>
    <fill>
      <patternFill patternType="solid">
        <fgColor indexed="47"/>
        <bgColor indexed="64"/>
      </patternFill>
    </fill>
    <fill>
      <patternFill patternType="solid">
        <fgColor indexed="22"/>
        <bgColor indexed="64"/>
      </patternFill>
    </fill>
    <fill>
      <patternFill patternType="solid">
        <fgColor indexed="9"/>
        <bgColor indexed="9"/>
      </patternFill>
    </fill>
    <fill>
      <patternFill patternType="solid">
        <fgColor theme="9" tint="0.59999389629810485"/>
        <bgColor indexed="9"/>
      </patternFill>
    </fill>
    <fill>
      <patternFill patternType="solid">
        <fgColor theme="0" tint="-0.249977111117893"/>
        <bgColor indexed="64"/>
      </patternFill>
    </fill>
    <fill>
      <patternFill patternType="lightUp"/>
    </fill>
    <fill>
      <patternFill patternType="solid">
        <fgColor indexed="42"/>
        <bgColor indexed="64"/>
      </patternFill>
    </fill>
    <fill>
      <patternFill patternType="solid">
        <fgColor rgb="FF99FF99"/>
        <bgColor indexed="64"/>
      </patternFill>
    </fill>
  </fills>
  <borders count="62">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8"/>
      </bottom>
      <diagonal/>
    </border>
    <border>
      <left style="thin">
        <color indexed="64"/>
      </left>
      <right style="thin">
        <color indexed="64"/>
      </right>
      <top/>
      <bottom style="thin">
        <color indexed="8"/>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dashed">
        <color indexed="64"/>
      </left>
      <right style="dashed">
        <color indexed="64"/>
      </right>
      <top style="dashed">
        <color indexed="64"/>
      </top>
      <bottom style="dashed">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8"/>
      </top>
      <bottom/>
      <diagonal/>
    </border>
    <border>
      <left/>
      <right/>
      <top/>
      <bottom style="medium">
        <color indexed="8"/>
      </bottom>
      <diagonal/>
    </border>
    <border>
      <left style="thin">
        <color indexed="8"/>
      </left>
      <right/>
      <top style="thin">
        <color indexed="8"/>
      </top>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s>
  <cellStyleXfs count="31">
    <xf numFmtId="0" fontId="0" fillId="0" borderId="0">
      <alignment horizontal="left" wrapText="1"/>
    </xf>
    <xf numFmtId="44" fontId="3" fillId="0" borderId="0" applyFont="0" applyFill="0" applyBorder="0" applyAlignment="0" applyProtection="0"/>
    <xf numFmtId="9" fontId="3" fillId="0" borderId="0" applyFont="0" applyFill="0" applyBorder="0" applyAlignment="0" applyProtection="0"/>
    <xf numFmtId="0" fontId="3" fillId="0" borderId="0">
      <alignment horizontal="left" wrapText="1"/>
    </xf>
    <xf numFmtId="37" fontId="4" fillId="0" borderId="0"/>
    <xf numFmtId="0" fontId="5" fillId="0" borderId="0" applyNumberFormat="0" applyFill="0" applyBorder="0" applyAlignment="0" applyProtection="0">
      <alignment vertical="top"/>
      <protection locked="0"/>
    </xf>
    <xf numFmtId="9" fontId="3" fillId="0" borderId="0" applyFont="0" applyFill="0" applyBorder="0" applyAlignment="0" applyProtection="0"/>
    <xf numFmtId="0" fontId="3" fillId="0" borderId="0"/>
    <xf numFmtId="43" fontId="3" fillId="0" borderId="0" applyFont="0" applyFill="0" applyBorder="0" applyAlignment="0" applyProtection="0"/>
    <xf numFmtId="0" fontId="15" fillId="0" borderId="0">
      <alignment horizontal="left" wrapText="1"/>
    </xf>
    <xf numFmtId="0" fontId="3" fillId="0" borderId="0"/>
    <xf numFmtId="0" fontId="3" fillId="0" borderId="0"/>
    <xf numFmtId="0" fontId="2" fillId="0" borderId="0"/>
    <xf numFmtId="43" fontId="2" fillId="0" borderId="0" applyFont="0" applyFill="0" applyBorder="0" applyAlignment="0" applyProtection="0"/>
    <xf numFmtId="0" fontId="3" fillId="0" borderId="0">
      <alignment horizontal="left" wrapText="1"/>
    </xf>
    <xf numFmtId="44" fontId="2" fillId="0" borderId="0" applyFont="0" applyFill="0" applyBorder="0" applyAlignment="0" applyProtection="0"/>
    <xf numFmtId="0" fontId="30" fillId="0" borderId="0"/>
    <xf numFmtId="43" fontId="30" fillId="0" borderId="0" applyFont="0" applyFill="0" applyBorder="0" applyAlignment="0" applyProtection="0"/>
    <xf numFmtId="44" fontId="30"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30" fillId="0" borderId="0" applyFont="0" applyFill="0" applyBorder="0" applyAlignment="0" applyProtection="0"/>
    <xf numFmtId="44" fontId="39" fillId="0" borderId="0" applyFont="0" applyFill="0" applyBorder="0" applyAlignment="0" applyProtection="0"/>
    <xf numFmtId="0" fontId="4" fillId="0" borderId="0"/>
    <xf numFmtId="0" fontId="41" fillId="0" borderId="0"/>
    <xf numFmtId="0" fontId="41" fillId="0" borderId="0"/>
    <xf numFmtId="0" fontId="1" fillId="0" borderId="0"/>
    <xf numFmtId="43" fontId="3" fillId="0" borderId="0" applyFont="0" applyFill="0" applyBorder="0" applyAlignment="0" applyProtection="0"/>
    <xf numFmtId="0" fontId="54" fillId="0" borderId="0"/>
    <xf numFmtId="0" fontId="4" fillId="0" borderId="0"/>
  </cellStyleXfs>
  <cellXfs count="1040">
    <xf numFmtId="0" fontId="0" fillId="0" borderId="0" xfId="0">
      <alignment horizontal="left" wrapText="1"/>
    </xf>
    <xf numFmtId="0" fontId="10" fillId="0" borderId="0" xfId="0" applyFont="1">
      <alignment horizontal="left" wrapText="1"/>
    </xf>
    <xf numFmtId="37" fontId="10" fillId="0" borderId="0" xfId="0" applyNumberFormat="1" applyFont="1">
      <alignment horizontal="left" wrapText="1"/>
    </xf>
    <xf numFmtId="0" fontId="10" fillId="0" borderId="0" xfId="0" applyFont="1" applyAlignment="1">
      <alignment horizontal="left"/>
    </xf>
    <xf numFmtId="0" fontId="10" fillId="0" borderId="0" xfId="0" applyFont="1" applyAlignment="1"/>
    <xf numFmtId="0" fontId="10" fillId="0" borderId="0" xfId="0" applyFont="1" applyAlignment="1">
      <alignment horizontal="centerContinuous"/>
    </xf>
    <xf numFmtId="0" fontId="12" fillId="0" borderId="0" xfId="0" applyFont="1" applyAlignment="1"/>
    <xf numFmtId="0" fontId="10"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vertical="center"/>
    </xf>
    <xf numFmtId="5" fontId="10" fillId="0" borderId="0" xfId="0" applyNumberFormat="1" applyFont="1" applyAlignment="1">
      <alignment horizontal="center" vertical="center"/>
    </xf>
    <xf numFmtId="0" fontId="10" fillId="0" borderId="3" xfId="0" applyFont="1" applyBorder="1" applyAlignment="1"/>
    <xf numFmtId="37" fontId="10" fillId="0" borderId="3" xfId="4" applyFont="1" applyBorder="1"/>
    <xf numFmtId="164" fontId="10" fillId="0" borderId="3" xfId="2" applyNumberFormat="1" applyFont="1" applyFill="1" applyBorder="1" applyAlignment="1">
      <alignment horizontal="center"/>
    </xf>
    <xf numFmtId="42" fontId="10" fillId="0" borderId="3" xfId="0" applyNumberFormat="1" applyFont="1" applyBorder="1" applyAlignment="1"/>
    <xf numFmtId="42" fontId="10" fillId="0" borderId="4" xfId="0" applyNumberFormat="1" applyFont="1" applyBorder="1" applyAlignment="1"/>
    <xf numFmtId="41" fontId="10" fillId="0" borderId="3" xfId="0" applyNumberFormat="1" applyFont="1" applyBorder="1" applyAlignment="1"/>
    <xf numFmtId="0" fontId="13" fillId="0" borderId="0" xfId="5" applyFont="1" applyBorder="1" applyAlignment="1" applyProtection="1"/>
    <xf numFmtId="164" fontId="10" fillId="0" borderId="3" xfId="0" applyNumberFormat="1" applyFont="1" applyBorder="1" applyAlignment="1">
      <alignment horizontal="center"/>
    </xf>
    <xf numFmtId="42" fontId="10" fillId="2" borderId="3" xfId="0" applyNumberFormat="1" applyFont="1" applyFill="1" applyBorder="1" applyAlignment="1"/>
    <xf numFmtId="42" fontId="10" fillId="0" borderId="0" xfId="0" applyNumberFormat="1" applyFont="1" applyAlignment="1"/>
    <xf numFmtId="164" fontId="10" fillId="0" borderId="0" xfId="0" applyNumberFormat="1" applyFont="1" applyAlignment="1">
      <alignment horizontal="center"/>
    </xf>
    <xf numFmtId="42" fontId="10" fillId="2" borderId="0" xfId="0" applyNumberFormat="1" applyFont="1" applyFill="1" applyAlignment="1"/>
    <xf numFmtId="42" fontId="12" fillId="0" borderId="0" xfId="0" applyNumberFormat="1" applyFont="1" applyAlignment="1"/>
    <xf numFmtId="164" fontId="12" fillId="0" borderId="0" xfId="0" applyNumberFormat="1" applyFont="1" applyAlignment="1">
      <alignment horizontal="center"/>
    </xf>
    <xf numFmtId="42" fontId="12" fillId="2" borderId="0" xfId="0" applyNumberFormat="1" applyFont="1" applyFill="1" applyAlignment="1"/>
    <xf numFmtId="0" fontId="12" fillId="0" borderId="0" xfId="3" applyFont="1">
      <alignment horizontal="left" wrapText="1"/>
    </xf>
    <xf numFmtId="0" fontId="12" fillId="0" borderId="0" xfId="3" applyFont="1" applyAlignment="1">
      <alignment horizontal="center" wrapText="1"/>
    </xf>
    <xf numFmtId="0" fontId="12" fillId="0" borderId="0" xfId="3" applyFont="1" applyAlignment="1">
      <alignment horizontal="center"/>
    </xf>
    <xf numFmtId="5" fontId="10" fillId="0" borderId="0" xfId="0" applyNumberFormat="1" applyFont="1" applyAlignment="1"/>
    <xf numFmtId="5" fontId="10" fillId="0" borderId="0" xfId="0" applyNumberFormat="1" applyFont="1" applyAlignment="1">
      <alignment horizontal="center"/>
    </xf>
    <xf numFmtId="41" fontId="10" fillId="0" borderId="0" xfId="0" applyNumberFormat="1" applyFont="1" applyAlignment="1"/>
    <xf numFmtId="37" fontId="10" fillId="0" borderId="0" xfId="4" applyFont="1"/>
    <xf numFmtId="37" fontId="10" fillId="0" borderId="16" xfId="4" applyFont="1" applyBorder="1"/>
    <xf numFmtId="37" fontId="10" fillId="0" borderId="5" xfId="4" applyFont="1" applyBorder="1"/>
    <xf numFmtId="164" fontId="10" fillId="0" borderId="0" xfId="2" applyNumberFormat="1" applyFont="1" applyFill="1" applyAlignment="1">
      <alignment horizontal="center"/>
    </xf>
    <xf numFmtId="0" fontId="10" fillId="0" borderId="0" xfId="9" applyFont="1" applyAlignment="1"/>
    <xf numFmtId="0" fontId="10" fillId="2" borderId="0" xfId="9" applyFont="1" applyFill="1" applyAlignment="1"/>
    <xf numFmtId="0" fontId="9" fillId="0" borderId="0" xfId="9" applyFont="1" applyAlignment="1">
      <alignment horizontal="center"/>
    </xf>
    <xf numFmtId="0" fontId="9" fillId="0" borderId="0" xfId="9" applyFont="1" applyAlignment="1">
      <alignment horizontal="centerContinuous"/>
    </xf>
    <xf numFmtId="42" fontId="10" fillId="0" borderId="0" xfId="9" applyNumberFormat="1" applyFont="1" applyAlignment="1"/>
    <xf numFmtId="0" fontId="10" fillId="0" borderId="0" xfId="9" applyFont="1" applyAlignment="1">
      <alignment vertical="center"/>
    </xf>
    <xf numFmtId="0" fontId="10" fillId="2" borderId="0" xfId="9" applyFont="1" applyFill="1" applyAlignment="1">
      <alignment vertical="center"/>
    </xf>
    <xf numFmtId="0" fontId="10" fillId="0" borderId="0" xfId="9" applyFont="1" applyAlignment="1">
      <alignment horizontal="center"/>
    </xf>
    <xf numFmtId="0" fontId="10" fillId="2" borderId="0" xfId="3" applyFont="1" applyFill="1">
      <alignment horizontal="left" wrapText="1"/>
    </xf>
    <xf numFmtId="170" fontId="10" fillId="2" borderId="0" xfId="9" applyNumberFormat="1" applyFont="1" applyFill="1" applyAlignment="1"/>
    <xf numFmtId="41" fontId="10" fillId="0" borderId="0" xfId="9" applyNumberFormat="1" applyFont="1" applyAlignment="1"/>
    <xf numFmtId="0" fontId="12" fillId="2" borderId="0" xfId="9" applyFont="1" applyFill="1" applyAlignment="1"/>
    <xf numFmtId="170" fontId="10" fillId="0" borderId="0" xfId="9" applyNumberFormat="1" applyFont="1" applyAlignment="1"/>
    <xf numFmtId="10" fontId="10" fillId="0" borderId="0" xfId="9" applyNumberFormat="1" applyFont="1" applyAlignment="1"/>
    <xf numFmtId="170" fontId="10" fillId="2" borderId="3" xfId="9" applyNumberFormat="1" applyFont="1" applyFill="1" applyBorder="1" applyAlignment="1"/>
    <xf numFmtId="170" fontId="12" fillId="2" borderId="3" xfId="9" applyNumberFormat="1" applyFont="1" applyFill="1" applyBorder="1" applyAlignment="1"/>
    <xf numFmtId="0" fontId="12" fillId="2" borderId="6" xfId="9" applyFont="1" applyFill="1" applyBorder="1" applyAlignment="1"/>
    <xf numFmtId="171" fontId="10" fillId="0" borderId="0" xfId="9" applyNumberFormat="1" applyFont="1" applyAlignment="1"/>
    <xf numFmtId="172" fontId="10" fillId="0" borderId="0" xfId="9" applyNumberFormat="1" applyFont="1" applyAlignment="1"/>
    <xf numFmtId="170" fontId="10" fillId="0" borderId="17" xfId="9" applyNumberFormat="1" applyFont="1" applyBorder="1" applyAlignment="1"/>
    <xf numFmtId="170" fontId="10" fillId="2" borderId="17" xfId="9" applyNumberFormat="1" applyFont="1" applyFill="1" applyBorder="1" applyAlignment="1"/>
    <xf numFmtId="0" fontId="12" fillId="0" borderId="0" xfId="9" applyFont="1" applyAlignment="1"/>
    <xf numFmtId="0" fontId="12" fillId="2" borderId="3" xfId="9" applyFont="1" applyFill="1" applyBorder="1" applyAlignment="1">
      <alignment wrapText="1"/>
    </xf>
    <xf numFmtId="10" fontId="10" fillId="0" borderId="0" xfId="2" applyNumberFormat="1" applyFont="1"/>
    <xf numFmtId="0" fontId="12" fillId="2" borderId="3" xfId="9" applyFont="1" applyFill="1" applyBorder="1" applyAlignment="1"/>
    <xf numFmtId="10" fontId="10" fillId="2" borderId="0" xfId="9" applyNumberFormat="1" applyFont="1" applyFill="1" applyAlignment="1"/>
    <xf numFmtId="42" fontId="12" fillId="0" borderId="0" xfId="9" applyNumberFormat="1" applyFont="1" applyAlignment="1"/>
    <xf numFmtId="0" fontId="9" fillId="5" borderId="0" xfId="9" applyFont="1" applyFill="1" applyAlignment="1">
      <alignment wrapText="1"/>
    </xf>
    <xf numFmtId="170" fontId="10" fillId="5" borderId="0" xfId="9" applyNumberFormat="1" applyFont="1" applyFill="1" applyAlignment="1"/>
    <xf numFmtId="10" fontId="10" fillId="5" borderId="0" xfId="9" applyNumberFormat="1" applyFont="1" applyFill="1" applyAlignment="1"/>
    <xf numFmtId="42" fontId="10" fillId="2" borderId="3" xfId="9" applyNumberFormat="1" applyFont="1" applyFill="1" applyBorder="1" applyAlignment="1"/>
    <xf numFmtId="37" fontId="12" fillId="0" borderId="0" xfId="4" applyFont="1"/>
    <xf numFmtId="37" fontId="12" fillId="0" borderId="0" xfId="4" applyFont="1" applyAlignment="1">
      <alignment horizontal="center"/>
    </xf>
    <xf numFmtId="37" fontId="10" fillId="0" borderId="0" xfId="4" applyFont="1" applyAlignment="1">
      <alignment horizontal="center"/>
    </xf>
    <xf numFmtId="37" fontId="10" fillId="2" borderId="0" xfId="4" applyFont="1" applyFill="1" applyAlignment="1">
      <alignment horizontal="center"/>
    </xf>
    <xf numFmtId="169" fontId="12" fillId="2" borderId="0" xfId="4" applyNumberFormat="1" applyFont="1" applyFill="1" applyAlignment="1">
      <alignment horizontal="center"/>
    </xf>
    <xf numFmtId="37" fontId="10" fillId="0" borderId="6" xfId="4" applyFont="1" applyBorder="1"/>
    <xf numFmtId="10" fontId="10" fillId="0" borderId="6" xfId="2" applyNumberFormat="1" applyFont="1" applyBorder="1" applyAlignment="1" applyProtection="1">
      <alignment horizontal="center"/>
    </xf>
    <xf numFmtId="44" fontId="10" fillId="0" borderId="6" xfId="4" applyNumberFormat="1" applyFont="1" applyBorder="1" applyAlignment="1">
      <alignment horizontal="center"/>
    </xf>
    <xf numFmtId="44" fontId="10" fillId="0" borderId="7" xfId="4" applyNumberFormat="1" applyFont="1" applyBorder="1" applyAlignment="1">
      <alignment horizontal="center"/>
    </xf>
    <xf numFmtId="37" fontId="12" fillId="0" borderId="1" xfId="4" applyFont="1" applyBorder="1" applyAlignment="1">
      <alignment horizontal="center"/>
    </xf>
    <xf numFmtId="37" fontId="12" fillId="0" borderId="8" xfId="4" applyFont="1" applyBorder="1" applyAlignment="1">
      <alignment horizontal="center"/>
    </xf>
    <xf numFmtId="37" fontId="12" fillId="0" borderId="11" xfId="4" applyFont="1" applyBorder="1" applyAlignment="1">
      <alignment horizontal="center"/>
    </xf>
    <xf numFmtId="37" fontId="12" fillId="0" borderId="0" xfId="4" applyFont="1" applyAlignment="1">
      <alignment horizontal="center" vertical="center" wrapText="1"/>
    </xf>
    <xf numFmtId="37" fontId="12" fillId="0" borderId="4" xfId="4" applyFont="1" applyBorder="1" applyAlignment="1">
      <alignment horizontal="center" vertical="center" wrapText="1"/>
    </xf>
    <xf numFmtId="37" fontId="12" fillId="0" borderId="9" xfId="4" applyFont="1" applyBorder="1" applyAlignment="1">
      <alignment horizontal="center" vertical="center" wrapText="1"/>
    </xf>
    <xf numFmtId="37" fontId="12" fillId="0" borderId="10" xfId="4" applyFont="1" applyBorder="1" applyAlignment="1">
      <alignment horizontal="center" vertical="center" wrapText="1"/>
    </xf>
    <xf numFmtId="42" fontId="10" fillId="0" borderId="3" xfId="4" applyNumberFormat="1" applyFont="1" applyBorder="1"/>
    <xf numFmtId="41" fontId="10" fillId="0" borderId="3" xfId="4" applyNumberFormat="1" applyFont="1" applyBorder="1"/>
    <xf numFmtId="42" fontId="12" fillId="0" borderId="12" xfId="4" applyNumberFormat="1" applyFont="1" applyBorder="1"/>
    <xf numFmtId="42" fontId="10" fillId="0" borderId="9" xfId="4" applyNumberFormat="1" applyFont="1" applyBorder="1"/>
    <xf numFmtId="37" fontId="12" fillId="2" borderId="8" xfId="4" applyFont="1" applyFill="1" applyBorder="1" applyAlignment="1">
      <alignment horizontal="right" vertical="top"/>
    </xf>
    <xf numFmtId="0" fontId="12" fillId="0" borderId="0" xfId="0" applyFont="1" applyAlignment="1">
      <alignment horizontal="centerContinuous"/>
    </xf>
    <xf numFmtId="0" fontId="12" fillId="0" borderId="0" xfId="0" applyFont="1" applyAlignment="1">
      <alignment horizontal="center"/>
    </xf>
    <xf numFmtId="49" fontId="10" fillId="0" borderId="0" xfId="4" applyNumberFormat="1" applyFont="1"/>
    <xf numFmtId="14" fontId="12" fillId="0" borderId="0" xfId="4" quotePrefix="1" applyNumberFormat="1" applyFont="1" applyAlignment="1">
      <alignment horizontal="center"/>
    </xf>
    <xf numFmtId="37" fontId="10" fillId="2" borderId="0" xfId="4" applyFont="1" applyFill="1"/>
    <xf numFmtId="167" fontId="12" fillId="0" borderId="1" xfId="4" applyNumberFormat="1" applyFont="1" applyBorder="1"/>
    <xf numFmtId="167" fontId="12" fillId="0" borderId="4" xfId="4" applyNumberFormat="1" applyFont="1" applyBorder="1" applyAlignment="1">
      <alignment horizontal="left"/>
    </xf>
    <xf numFmtId="37" fontId="12" fillId="0" borderId="4" xfId="4" applyFont="1" applyBorder="1" applyAlignment="1">
      <alignment horizontal="center"/>
    </xf>
    <xf numFmtId="167" fontId="10" fillId="0" borderId="2" xfId="4" applyNumberFormat="1" applyFont="1" applyBorder="1"/>
    <xf numFmtId="37" fontId="12" fillId="0" borderId="2" xfId="4" applyFont="1" applyBorder="1" applyAlignment="1">
      <alignment horizontal="center" vertical="center" wrapText="1"/>
    </xf>
    <xf numFmtId="43" fontId="10" fillId="0" borderId="3" xfId="4" applyNumberFormat="1" applyFont="1" applyBorder="1"/>
    <xf numFmtId="41" fontId="10" fillId="2" borderId="3" xfId="4" applyNumberFormat="1" applyFont="1" applyFill="1" applyBorder="1"/>
    <xf numFmtId="37" fontId="10" fillId="0" borderId="3" xfId="4" applyFont="1" applyBorder="1" applyAlignment="1">
      <alignment horizontal="left"/>
    </xf>
    <xf numFmtId="37" fontId="12" fillId="0" borderId="3" xfId="4" applyFont="1" applyBorder="1"/>
    <xf numFmtId="10" fontId="10" fillId="0" borderId="0" xfId="2" applyNumberFormat="1" applyFont="1" applyAlignment="1"/>
    <xf numFmtId="0" fontId="12" fillId="0" borderId="0" xfId="7" applyFont="1" applyAlignment="1">
      <alignment horizontal="center" vertical="top" wrapText="1"/>
    </xf>
    <xf numFmtId="42" fontId="10" fillId="2" borderId="2" xfId="0" applyNumberFormat="1" applyFont="1" applyFill="1" applyBorder="1" applyAlignment="1"/>
    <xf numFmtId="0" fontId="12" fillId="0" borderId="0" xfId="3" applyFont="1" applyAlignment="1">
      <alignment horizontal="left" vertical="top" wrapText="1"/>
    </xf>
    <xf numFmtId="42" fontId="12" fillId="0" borderId="0" xfId="0" applyNumberFormat="1" applyFont="1" applyAlignment="1">
      <alignment vertical="top"/>
    </xf>
    <xf numFmtId="0" fontId="10" fillId="2" borderId="3" xfId="3" applyFont="1" applyFill="1" applyBorder="1">
      <alignment horizontal="left" wrapText="1"/>
    </xf>
    <xf numFmtId="41" fontId="12" fillId="0" borderId="3" xfId="9" applyNumberFormat="1" applyFont="1" applyBorder="1" applyAlignment="1"/>
    <xf numFmtId="41" fontId="10" fillId="2" borderId="3" xfId="9" applyNumberFormat="1" applyFont="1" applyFill="1" applyBorder="1" applyAlignment="1"/>
    <xf numFmtId="42" fontId="12" fillId="0" borderId="3" xfId="9" applyNumberFormat="1" applyFont="1" applyBorder="1" applyAlignment="1"/>
    <xf numFmtId="0" fontId="10" fillId="2" borderId="3" xfId="9" applyFont="1" applyFill="1" applyBorder="1" applyAlignment="1"/>
    <xf numFmtId="10" fontId="10" fillId="0" borderId="3" xfId="9" applyNumberFormat="1" applyFont="1" applyBorder="1" applyAlignment="1"/>
    <xf numFmtId="10" fontId="12" fillId="0" borderId="3" xfId="9" applyNumberFormat="1" applyFont="1" applyBorder="1" applyAlignment="1"/>
    <xf numFmtId="170" fontId="10" fillId="0" borderId="3" xfId="9" applyNumberFormat="1" applyFont="1" applyBorder="1" applyAlignment="1"/>
    <xf numFmtId="0" fontId="10" fillId="0" borderId="3" xfId="9" applyFont="1" applyBorder="1" applyAlignment="1"/>
    <xf numFmtId="44" fontId="10" fillId="2" borderId="3" xfId="9" applyNumberFormat="1" applyFont="1" applyFill="1" applyBorder="1" applyAlignment="1"/>
    <xf numFmtId="44" fontId="11" fillId="0" borderId="0" xfId="4" applyNumberFormat="1" applyFont="1"/>
    <xf numFmtId="44" fontId="11" fillId="0" borderId="0" xfId="9" applyNumberFormat="1" applyFont="1" applyAlignment="1"/>
    <xf numFmtId="42" fontId="12" fillId="0" borderId="3" xfId="4" applyNumberFormat="1" applyFont="1" applyBorder="1"/>
    <xf numFmtId="0" fontId="12" fillId="0" borderId="0" xfId="0" applyFont="1">
      <alignment horizontal="left" wrapText="1"/>
    </xf>
    <xf numFmtId="41" fontId="12" fillId="2" borderId="3" xfId="9" applyNumberFormat="1" applyFont="1" applyFill="1" applyBorder="1" applyAlignment="1"/>
    <xf numFmtId="37" fontId="12" fillId="0" borderId="3" xfId="9" applyNumberFormat="1" applyFont="1" applyBorder="1" applyAlignment="1">
      <alignment horizontal="center" vertical="center" wrapText="1"/>
    </xf>
    <xf numFmtId="10" fontId="12" fillId="0" borderId="3" xfId="9" applyNumberFormat="1" applyFont="1" applyBorder="1" applyAlignment="1">
      <alignment horizontal="center" vertical="center" wrapText="1"/>
    </xf>
    <xf numFmtId="37" fontId="12" fillId="0" borderId="1" xfId="9" applyNumberFormat="1" applyFont="1" applyBorder="1" applyAlignment="1">
      <alignment horizontal="center" vertical="center" wrapText="1"/>
    </xf>
    <xf numFmtId="44" fontId="11" fillId="0" borderId="14" xfId="4" applyNumberFormat="1" applyFont="1" applyBorder="1"/>
    <xf numFmtId="44" fontId="11" fillId="0" borderId="14" xfId="4" applyNumberFormat="1" applyFont="1" applyBorder="1" applyAlignment="1">
      <alignment vertical="top"/>
    </xf>
    <xf numFmtId="10" fontId="12" fillId="0" borderId="0" xfId="9" applyNumberFormat="1" applyFont="1" applyAlignment="1"/>
    <xf numFmtId="42" fontId="10" fillId="0" borderId="3" xfId="9" applyNumberFormat="1" applyFont="1" applyBorder="1" applyAlignment="1"/>
    <xf numFmtId="172" fontId="10" fillId="2" borderId="3" xfId="9" applyNumberFormat="1" applyFont="1" applyFill="1" applyBorder="1" applyAlignment="1"/>
    <xf numFmtId="0" fontId="9" fillId="3" borderId="3" xfId="9" applyFont="1" applyFill="1" applyBorder="1" applyAlignment="1">
      <alignment horizontal="center" vertical="center" wrapText="1"/>
    </xf>
    <xf numFmtId="0" fontId="9" fillId="3" borderId="3" xfId="9" applyFont="1" applyFill="1" applyBorder="1" applyAlignment="1">
      <alignment horizontal="center" vertical="center"/>
    </xf>
    <xf numFmtId="10" fontId="14" fillId="0" borderId="0" xfId="2" applyNumberFormat="1" applyFont="1"/>
    <xf numFmtId="0" fontId="9" fillId="2" borderId="3" xfId="9" applyFont="1" applyFill="1" applyBorder="1" applyAlignment="1">
      <alignment wrapText="1"/>
    </xf>
    <xf numFmtId="0" fontId="10" fillId="0" borderId="17" xfId="9" applyFont="1" applyBorder="1" applyAlignment="1"/>
    <xf numFmtId="0" fontId="10" fillId="2" borderId="17" xfId="9" applyFont="1" applyFill="1" applyBorder="1" applyAlignment="1"/>
    <xf numFmtId="0" fontId="12" fillId="0" borderId="17" xfId="9" applyFont="1" applyBorder="1" applyAlignment="1"/>
    <xf numFmtId="0" fontId="10" fillId="0" borderId="14" xfId="9" applyFont="1" applyBorder="1" applyAlignment="1"/>
    <xf numFmtId="0" fontId="12" fillId="2" borderId="3" xfId="9" applyFont="1" applyFill="1" applyBorder="1" applyAlignment="1">
      <alignment vertical="center"/>
    </xf>
    <xf numFmtId="170" fontId="12" fillId="0" borderId="3" xfId="2" applyNumberFormat="1" applyFont="1" applyBorder="1" applyAlignment="1"/>
    <xf numFmtId="0" fontId="10" fillId="2" borderId="3" xfId="9" applyFont="1" applyFill="1" applyBorder="1" applyAlignment="1">
      <alignment horizontal="right"/>
    </xf>
    <xf numFmtId="0" fontId="12" fillId="2" borderId="3" xfId="9" applyFont="1" applyFill="1" applyBorder="1" applyAlignment="1">
      <alignment horizontal="right"/>
    </xf>
    <xf numFmtId="0" fontId="9" fillId="0" borderId="0" xfId="9" applyFont="1" applyAlignment="1">
      <alignment horizontal="center" vertical="center"/>
    </xf>
    <xf numFmtId="173" fontId="10" fillId="2" borderId="3" xfId="1" applyNumberFormat="1" applyFont="1" applyFill="1" applyBorder="1" applyAlignment="1"/>
    <xf numFmtId="175" fontId="10" fillId="2" borderId="3" xfId="9" applyNumberFormat="1" applyFont="1" applyFill="1" applyBorder="1" applyAlignment="1"/>
    <xf numFmtId="173" fontId="12" fillId="4" borderId="3" xfId="1" applyNumberFormat="1" applyFont="1" applyFill="1" applyBorder="1" applyAlignment="1"/>
    <xf numFmtId="170" fontId="12" fillId="4" borderId="3" xfId="9" applyNumberFormat="1" applyFont="1" applyFill="1" applyBorder="1" applyAlignment="1"/>
    <xf numFmtId="0" fontId="12" fillId="0" borderId="3" xfId="9" applyFont="1" applyBorder="1" applyAlignment="1">
      <alignment horizontal="right"/>
    </xf>
    <xf numFmtId="173" fontId="12" fillId="2" borderId="3" xfId="1" applyNumberFormat="1" applyFont="1" applyFill="1" applyBorder="1" applyAlignment="1"/>
    <xf numFmtId="173" fontId="10" fillId="2" borderId="17" xfId="1" applyNumberFormat="1" applyFont="1" applyFill="1" applyBorder="1" applyAlignment="1"/>
    <xf numFmtId="0" fontId="10" fillId="0" borderId="0" xfId="9" applyFont="1" applyAlignment="1">
      <alignment horizontal="left" vertical="center" wrapText="1"/>
    </xf>
    <xf numFmtId="0" fontId="10" fillId="0" borderId="0" xfId="9" applyFont="1" applyAlignment="1">
      <alignment horizontal="left" vertical="center"/>
    </xf>
    <xf numFmtId="0" fontId="19" fillId="0" borderId="0" xfId="9" applyFont="1" applyAlignment="1">
      <alignment horizontal="left" vertical="center"/>
    </xf>
    <xf numFmtId="0" fontId="12" fillId="0" borderId="3" xfId="9" applyFont="1" applyBorder="1" applyAlignment="1"/>
    <xf numFmtId="41" fontId="10" fillId="0" borderId="3" xfId="9" applyNumberFormat="1" applyFont="1" applyBorder="1" applyAlignment="1"/>
    <xf numFmtId="170" fontId="12" fillId="0" borderId="3" xfId="9" applyNumberFormat="1" applyFont="1" applyBorder="1" applyAlignment="1"/>
    <xf numFmtId="37" fontId="10" fillId="0" borderId="7" xfId="4" applyFont="1" applyBorder="1" applyAlignment="1">
      <alignment horizontal="right"/>
    </xf>
    <xf numFmtId="37" fontId="12" fillId="6" borderId="4" xfId="4" applyFont="1" applyFill="1" applyBorder="1" applyAlignment="1">
      <alignment horizontal="center"/>
    </xf>
    <xf numFmtId="37" fontId="12" fillId="6" borderId="2" xfId="4" applyFont="1" applyFill="1" applyBorder="1" applyAlignment="1">
      <alignment horizontal="center" vertical="center" wrapText="1"/>
    </xf>
    <xf numFmtId="42" fontId="10" fillId="6" borderId="3" xfId="4" applyNumberFormat="1" applyFont="1" applyFill="1" applyBorder="1"/>
    <xf numFmtId="37" fontId="10" fillId="6" borderId="3" xfId="4" applyFont="1" applyFill="1" applyBorder="1"/>
    <xf numFmtId="42" fontId="12" fillId="6" borderId="3" xfId="4" applyNumberFormat="1" applyFont="1" applyFill="1" applyBorder="1"/>
    <xf numFmtId="37" fontId="12" fillId="6" borderId="1" xfId="4" applyFont="1" applyFill="1" applyBorder="1" applyAlignment="1">
      <alignment horizontal="center"/>
    </xf>
    <xf numFmtId="42" fontId="10" fillId="6" borderId="3" xfId="0" applyNumberFormat="1" applyFont="1" applyFill="1" applyBorder="1" applyAlignment="1"/>
    <xf numFmtId="41" fontId="10" fillId="6" borderId="3" xfId="0" applyNumberFormat="1" applyFont="1" applyFill="1" applyBorder="1" applyAlignment="1"/>
    <xf numFmtId="42" fontId="12" fillId="6" borderId="3" xfId="0" applyNumberFormat="1" applyFont="1" applyFill="1" applyBorder="1" applyAlignment="1"/>
    <xf numFmtId="37" fontId="12" fillId="6" borderId="1" xfId="0" applyNumberFormat="1" applyFont="1" applyFill="1" applyBorder="1" applyAlignment="1">
      <alignment horizontal="center" vertical="center" wrapText="1"/>
    </xf>
    <xf numFmtId="37" fontId="12" fillId="0" borderId="3" xfId="0" applyNumberFormat="1" applyFont="1" applyBorder="1" applyAlignment="1">
      <alignment horizontal="center" vertical="center" wrapText="1"/>
    </xf>
    <xf numFmtId="37" fontId="12" fillId="0" borderId="1" xfId="0" applyNumberFormat="1" applyFont="1" applyBorder="1" applyAlignment="1">
      <alignment horizontal="center" vertical="center" wrapText="1"/>
    </xf>
    <xf numFmtId="44" fontId="10" fillId="6" borderId="3" xfId="4" applyNumberFormat="1" applyFont="1" applyFill="1" applyBorder="1" applyAlignment="1">
      <alignment horizontal="center"/>
    </xf>
    <xf numFmtId="37" fontId="12" fillId="6" borderId="4" xfId="4" applyFont="1" applyFill="1" applyBorder="1" applyAlignment="1">
      <alignment horizontal="center" vertical="center" wrapText="1"/>
    </xf>
    <xf numFmtId="42" fontId="12" fillId="6" borderId="13" xfId="4" applyNumberFormat="1" applyFont="1" applyFill="1" applyBorder="1"/>
    <xf numFmtId="42" fontId="10" fillId="6" borderId="2" xfId="4" applyNumberFormat="1" applyFont="1" applyFill="1" applyBorder="1"/>
    <xf numFmtId="37" fontId="10" fillId="0" borderId="3" xfId="9" applyNumberFormat="1" applyFont="1" applyBorder="1" applyAlignment="1"/>
    <xf numFmtId="37" fontId="10" fillId="2" borderId="3" xfId="9" applyNumberFormat="1" applyFont="1" applyFill="1" applyBorder="1" applyAlignment="1"/>
    <xf numFmtId="14" fontId="10" fillId="0" borderId="3" xfId="9" applyNumberFormat="1" applyFont="1" applyBorder="1" applyAlignment="1">
      <alignment horizontal="center"/>
    </xf>
    <xf numFmtId="10" fontId="10" fillId="2" borderId="3" xfId="9" applyNumberFormat="1" applyFont="1" applyFill="1" applyBorder="1" applyAlignment="1"/>
    <xf numFmtId="172" fontId="10" fillId="0" borderId="3" xfId="9" applyNumberFormat="1" applyFont="1" applyBorder="1" applyAlignment="1"/>
    <xf numFmtId="170" fontId="10" fillId="0" borderId="3" xfId="9" applyNumberFormat="1" applyFont="1" applyBorder="1" applyAlignment="1">
      <alignment horizontal="right"/>
    </xf>
    <xf numFmtId="42" fontId="10" fillId="0" borderId="3" xfId="9" applyNumberFormat="1" applyFont="1" applyBorder="1">
      <alignment horizontal="left" wrapText="1"/>
    </xf>
    <xf numFmtId="10" fontId="10" fillId="0" borderId="3" xfId="9" applyNumberFormat="1" applyFont="1" applyBorder="1" applyAlignment="1">
      <alignment horizontal="center"/>
    </xf>
    <xf numFmtId="3" fontId="10" fillId="0" borderId="3" xfId="9" applyNumberFormat="1" applyFont="1" applyBorder="1" applyAlignment="1"/>
    <xf numFmtId="44" fontId="11" fillId="0" borderId="3" xfId="4" applyNumberFormat="1" applyFont="1" applyBorder="1"/>
    <xf numFmtId="173" fontId="10" fillId="0" borderId="3" xfId="1" applyNumberFormat="1" applyFont="1" applyFill="1" applyBorder="1" applyAlignment="1"/>
    <xf numFmtId="174" fontId="10" fillId="0" borderId="3" xfId="9" applyNumberFormat="1" applyFont="1" applyBorder="1" applyAlignment="1"/>
    <xf numFmtId="173" fontId="12" fillId="0" borderId="3" xfId="1" applyNumberFormat="1" applyFont="1" applyFill="1" applyBorder="1" applyAlignment="1"/>
    <xf numFmtId="173" fontId="10" fillId="0" borderId="17" xfId="1" applyNumberFormat="1" applyFont="1" applyFill="1" applyBorder="1" applyAlignment="1"/>
    <xf numFmtId="43" fontId="10" fillId="0" borderId="3" xfId="8" applyFont="1" applyBorder="1" applyAlignment="1"/>
    <xf numFmtId="43" fontId="12" fillId="0" borderId="3" xfId="8" applyFont="1" applyBorder="1" applyAlignment="1"/>
    <xf numFmtId="0" fontId="12" fillId="0" borderId="3" xfId="9" applyFont="1" applyBorder="1" applyAlignment="1">
      <alignment horizontal="center" vertical="center" wrapText="1"/>
    </xf>
    <xf numFmtId="176" fontId="10" fillId="0" borderId="3" xfId="8" applyNumberFormat="1" applyFont="1" applyBorder="1" applyAlignment="1"/>
    <xf numFmtId="176" fontId="12" fillId="0" borderId="3" xfId="8" applyNumberFormat="1" applyFont="1" applyBorder="1" applyAlignment="1"/>
    <xf numFmtId="0" fontId="16" fillId="2" borderId="5" xfId="9" applyFont="1" applyFill="1" applyBorder="1" applyAlignment="1"/>
    <xf numFmtId="10" fontId="10" fillId="0" borderId="5" xfId="9" applyNumberFormat="1" applyFont="1" applyBorder="1" applyAlignment="1"/>
    <xf numFmtId="0" fontId="12" fillId="0" borderId="1" xfId="9" applyFont="1" applyBorder="1" applyAlignment="1">
      <alignment horizontal="center" vertical="center" wrapText="1"/>
    </xf>
    <xf numFmtId="0" fontId="12" fillId="2" borderId="3" xfId="3" applyFont="1" applyFill="1" applyBorder="1">
      <alignment horizontal="left" wrapText="1"/>
    </xf>
    <xf numFmtId="0" fontId="12" fillId="3" borderId="3" xfId="9" applyFont="1" applyFill="1" applyBorder="1" applyAlignment="1">
      <alignment wrapText="1"/>
    </xf>
    <xf numFmtId="43" fontId="10" fillId="0" borderId="0" xfId="9" applyNumberFormat="1" applyFont="1" applyAlignment="1"/>
    <xf numFmtId="42" fontId="10" fillId="2" borderId="6" xfId="9" applyNumberFormat="1" applyFont="1" applyFill="1" applyBorder="1" applyAlignment="1"/>
    <xf numFmtId="41" fontId="10" fillId="2" borderId="6" xfId="9" applyNumberFormat="1" applyFont="1" applyFill="1" applyBorder="1" applyAlignment="1"/>
    <xf numFmtId="37" fontId="10" fillId="0" borderId="7" xfId="9" applyNumberFormat="1" applyFont="1" applyBorder="1" applyAlignment="1"/>
    <xf numFmtId="37" fontId="12" fillId="0" borderId="3" xfId="9" applyNumberFormat="1" applyFont="1" applyBorder="1" applyAlignment="1"/>
    <xf numFmtId="37" fontId="10" fillId="0" borderId="3" xfId="8" applyNumberFormat="1" applyFont="1" applyBorder="1" applyAlignment="1"/>
    <xf numFmtId="0" fontId="10" fillId="0" borderId="0" xfId="7" applyFont="1" applyAlignment="1">
      <alignment horizontal="left" indent="1"/>
    </xf>
    <xf numFmtId="176" fontId="12" fillId="0" borderId="0" xfId="8" applyNumberFormat="1" applyFont="1" applyFill="1" applyBorder="1" applyAlignment="1"/>
    <xf numFmtId="0" fontId="10" fillId="0" borderId="0" xfId="7" applyFont="1" applyAlignment="1">
      <alignment horizontal="left" wrapText="1" indent="1"/>
    </xf>
    <xf numFmtId="177" fontId="12" fillId="0" borderId="0" xfId="9" applyNumberFormat="1" applyFont="1" applyAlignment="1"/>
    <xf numFmtId="0" fontId="12" fillId="0" borderId="0" xfId="7" applyFont="1"/>
    <xf numFmtId="166" fontId="12" fillId="0" borderId="0" xfId="9" applyNumberFormat="1" applyFont="1" applyAlignment="1"/>
    <xf numFmtId="0" fontId="20" fillId="0" borderId="0" xfId="9" applyFont="1" applyAlignment="1"/>
    <xf numFmtId="44" fontId="10" fillId="2" borderId="14" xfId="9" applyNumberFormat="1" applyFont="1" applyFill="1" applyBorder="1" applyAlignment="1"/>
    <xf numFmtId="44" fontId="10" fillId="0" borderId="0" xfId="9" applyNumberFormat="1" applyFont="1" applyAlignment="1"/>
    <xf numFmtId="0" fontId="16" fillId="2" borderId="0" xfId="9" applyFont="1" applyFill="1" applyAlignment="1"/>
    <xf numFmtId="42" fontId="12" fillId="2" borderId="3" xfId="9" applyNumberFormat="1" applyFont="1" applyFill="1" applyBorder="1" applyAlignment="1"/>
    <xf numFmtId="41" fontId="12" fillId="2" borderId="6" xfId="9" applyNumberFormat="1" applyFont="1" applyFill="1" applyBorder="1" applyAlignment="1"/>
    <xf numFmtId="0" fontId="9" fillId="2" borderId="3" xfId="9" applyFont="1" applyFill="1" applyBorder="1" applyAlignment="1"/>
    <xf numFmtId="37" fontId="12" fillId="0" borderId="3" xfId="4" applyFont="1" applyBorder="1" applyAlignment="1">
      <alignment horizontal="left"/>
    </xf>
    <xf numFmtId="37" fontId="12" fillId="0" borderId="5" xfId="4" applyFont="1" applyBorder="1" applyAlignment="1">
      <alignment horizontal="right"/>
    </xf>
    <xf numFmtId="170" fontId="10" fillId="2" borderId="3" xfId="9" applyNumberFormat="1" applyFont="1" applyFill="1" applyBorder="1" applyAlignment="1">
      <alignment horizontal="center"/>
    </xf>
    <xf numFmtId="170" fontId="12" fillId="2" borderId="0" xfId="0" applyNumberFormat="1" applyFont="1" applyFill="1" applyAlignment="1"/>
    <xf numFmtId="165" fontId="12" fillId="7" borderId="0" xfId="0" applyNumberFormat="1" applyFont="1" applyFill="1" applyAlignment="1">
      <alignment horizontal="center" vertical="top"/>
    </xf>
    <xf numFmtId="168" fontId="12" fillId="7" borderId="14" xfId="4" applyNumberFormat="1" applyFont="1" applyFill="1" applyBorder="1" applyAlignment="1">
      <alignment horizontal="left" vertical="top"/>
    </xf>
    <xf numFmtId="42" fontId="12" fillId="0" borderId="0" xfId="9" applyNumberFormat="1" applyFont="1" applyAlignment="1">
      <alignment vertical="center"/>
    </xf>
    <xf numFmtId="43" fontId="10" fillId="0" borderId="3" xfId="8" applyFont="1" applyFill="1" applyBorder="1" applyAlignment="1"/>
    <xf numFmtId="0" fontId="18" fillId="0" borderId="0" xfId="0" applyFont="1">
      <alignment horizontal="left" wrapText="1"/>
    </xf>
    <xf numFmtId="176" fontId="10" fillId="0" borderId="0" xfId="8" applyNumberFormat="1" applyFont="1" applyBorder="1" applyAlignment="1"/>
    <xf numFmtId="37" fontId="10" fillId="0" borderId="0" xfId="8" applyNumberFormat="1" applyFont="1" applyBorder="1" applyAlignment="1"/>
    <xf numFmtId="0" fontId="21" fillId="0" borderId="0" xfId="12" applyFont="1"/>
    <xf numFmtId="0" fontId="21" fillId="8" borderId="0" xfId="12" applyFont="1" applyFill="1"/>
    <xf numFmtId="0" fontId="22" fillId="0" borderId="0" xfId="12" applyFont="1"/>
    <xf numFmtId="44" fontId="22" fillId="0" borderId="0" xfId="12" applyNumberFormat="1" applyFont="1" applyAlignment="1">
      <alignment horizontal="center" wrapText="1"/>
    </xf>
    <xf numFmtId="0" fontId="22" fillId="8" borderId="0" xfId="12" applyFont="1" applyFill="1"/>
    <xf numFmtId="0" fontId="22" fillId="0" borderId="0" xfId="12" applyFont="1" applyAlignment="1">
      <alignment horizontal="center"/>
    </xf>
    <xf numFmtId="166" fontId="21" fillId="0" borderId="0" xfId="12" applyNumberFormat="1" applyFont="1"/>
    <xf numFmtId="0" fontId="24" fillId="0" borderId="0" xfId="12" applyFont="1" applyAlignment="1">
      <alignment horizontal="right" wrapText="1"/>
    </xf>
    <xf numFmtId="176" fontId="24" fillId="0" borderId="0" xfId="13" applyNumberFormat="1" applyFont="1"/>
    <xf numFmtId="0" fontId="24" fillId="0" borderId="0" xfId="12" applyFont="1" applyAlignment="1">
      <alignment horizontal="right"/>
    </xf>
    <xf numFmtId="0" fontId="22" fillId="0" borderId="0" xfId="12" applyFont="1" applyAlignment="1">
      <alignment horizontal="right"/>
    </xf>
    <xf numFmtId="166" fontId="22" fillId="0" borderId="0" xfId="12" applyNumberFormat="1" applyFont="1"/>
    <xf numFmtId="166" fontId="22" fillId="8" borderId="0" xfId="12" applyNumberFormat="1" applyFont="1" applyFill="1"/>
    <xf numFmtId="0" fontId="10" fillId="0" borderId="3" xfId="14" applyFont="1" applyBorder="1" applyAlignment="1"/>
    <xf numFmtId="166" fontId="21" fillId="0" borderId="3" xfId="12" applyNumberFormat="1" applyFont="1" applyBorder="1"/>
    <xf numFmtId="166" fontId="21" fillId="8" borderId="3" xfId="12" applyNumberFormat="1" applyFont="1" applyFill="1" applyBorder="1"/>
    <xf numFmtId="0" fontId="21" fillId="0" borderId="3" xfId="12" applyFont="1" applyBorder="1"/>
    <xf numFmtId="0" fontId="22" fillId="0" borderId="3" xfId="12" applyFont="1" applyBorder="1"/>
    <xf numFmtId="166" fontId="22" fillId="0" borderId="3" xfId="12" applyNumberFormat="1" applyFont="1" applyBorder="1"/>
    <xf numFmtId="0" fontId="22" fillId="8" borderId="3" xfId="12" applyFont="1" applyFill="1" applyBorder="1"/>
    <xf numFmtId="0" fontId="25" fillId="5" borderId="0" xfId="12" applyFont="1" applyFill="1"/>
    <xf numFmtId="0" fontId="26" fillId="5" borderId="0" xfId="12" applyFont="1" applyFill="1" applyAlignment="1">
      <alignment horizontal="center"/>
    </xf>
    <xf numFmtId="0" fontId="26" fillId="5" borderId="0" xfId="12" applyFont="1" applyFill="1"/>
    <xf numFmtId="44" fontId="26" fillId="5" borderId="0" xfId="15" applyFont="1" applyFill="1"/>
    <xf numFmtId="0" fontId="27" fillId="9" borderId="0" xfId="12" applyFont="1" applyFill="1"/>
    <xf numFmtId="164" fontId="27" fillId="9" borderId="0" xfId="2" applyNumberFormat="1" applyFont="1" applyFill="1"/>
    <xf numFmtId="0" fontId="25" fillId="5" borderId="0" xfId="12" applyFont="1" applyFill="1" applyAlignment="1">
      <alignment horizontal="center"/>
    </xf>
    <xf numFmtId="44" fontId="25" fillId="5" borderId="0" xfId="15" applyFont="1" applyFill="1" applyAlignment="1">
      <alignment horizontal="center" wrapText="1"/>
    </xf>
    <xf numFmtId="0" fontId="25" fillId="5" borderId="0" xfId="12" applyFont="1" applyFill="1" applyAlignment="1">
      <alignment horizontal="center" wrapText="1"/>
    </xf>
    <xf numFmtId="0" fontId="25" fillId="5" borderId="18" xfId="12" applyFont="1" applyFill="1" applyBorder="1" applyAlignment="1">
      <alignment horizontal="center" wrapText="1"/>
    </xf>
    <xf numFmtId="0" fontId="28" fillId="5" borderId="0" xfId="12" applyFont="1" applyFill="1"/>
    <xf numFmtId="0" fontId="26" fillId="5" borderId="19" xfId="12" applyFont="1" applyFill="1" applyBorder="1"/>
    <xf numFmtId="0" fontId="29" fillId="10" borderId="0" xfId="12" applyFont="1" applyFill="1" applyAlignment="1">
      <alignment wrapText="1"/>
    </xf>
    <xf numFmtId="176" fontId="26" fillId="10" borderId="0" xfId="13" applyNumberFormat="1" applyFont="1" applyFill="1" applyAlignment="1">
      <alignment horizontal="center"/>
    </xf>
    <xf numFmtId="44" fontId="26" fillId="10" borderId="0" xfId="15" applyFont="1" applyFill="1"/>
    <xf numFmtId="8" fontId="26" fillId="7" borderId="0" xfId="15" applyNumberFormat="1" applyFont="1" applyFill="1"/>
    <xf numFmtId="44" fontId="26" fillId="10" borderId="19" xfId="15" applyFont="1" applyFill="1" applyBorder="1"/>
    <xf numFmtId="0" fontId="26" fillId="10" borderId="0" xfId="12" applyFont="1" applyFill="1"/>
    <xf numFmtId="176" fontId="26" fillId="5" borderId="0" xfId="13" applyNumberFormat="1" applyFont="1" applyFill="1" applyAlignment="1">
      <alignment horizontal="center"/>
    </xf>
    <xf numFmtId="44" fontId="26" fillId="5" borderId="19" xfId="15" applyFont="1" applyFill="1" applyBorder="1"/>
    <xf numFmtId="44" fontId="26" fillId="7" borderId="0" xfId="15" applyFont="1" applyFill="1"/>
    <xf numFmtId="44" fontId="26" fillId="10" borderId="20" xfId="15" applyFont="1" applyFill="1" applyBorder="1"/>
    <xf numFmtId="44" fontId="26" fillId="5" borderId="0" xfId="12" applyNumberFormat="1" applyFont="1" applyFill="1"/>
    <xf numFmtId="0" fontId="10" fillId="0" borderId="0" xfId="16" applyFont="1"/>
    <xf numFmtId="0" fontId="10" fillId="0" borderId="0" xfId="17" applyNumberFormat="1" applyFont="1" applyFill="1" applyAlignment="1">
      <alignment horizontal="center"/>
    </xf>
    <xf numFmtId="166" fontId="10" fillId="0" borderId="0" xfId="18" applyNumberFormat="1" applyFont="1" applyFill="1"/>
    <xf numFmtId="0" fontId="31" fillId="0" borderId="0" xfId="16" applyFont="1"/>
    <xf numFmtId="0" fontId="12" fillId="6" borderId="24" xfId="16" applyFont="1" applyFill="1" applyBorder="1" applyAlignment="1">
      <alignment horizontal="center" vertical="center" wrapText="1"/>
    </xf>
    <xf numFmtId="166" fontId="12" fillId="6" borderId="25" xfId="18" applyNumberFormat="1" applyFont="1" applyFill="1" applyBorder="1"/>
    <xf numFmtId="0" fontId="12" fillId="11" borderId="18" xfId="16" applyFont="1" applyFill="1" applyBorder="1" applyAlignment="1">
      <alignment horizontal="center" wrapText="1"/>
    </xf>
    <xf numFmtId="0" fontId="12" fillId="12" borderId="24" xfId="16" applyFont="1" applyFill="1" applyBorder="1" applyAlignment="1">
      <alignment horizontal="center" vertical="center" wrapText="1"/>
    </xf>
    <xf numFmtId="166" fontId="12" fillId="12" borderId="29" xfId="19" applyNumberFormat="1" applyFont="1" applyFill="1" applyBorder="1"/>
    <xf numFmtId="166" fontId="12" fillId="11" borderId="20" xfId="16" applyNumberFormat="1" applyFont="1" applyFill="1" applyBorder="1"/>
    <xf numFmtId="0" fontId="10" fillId="0" borderId="0" xfId="17" applyNumberFormat="1" applyFont="1" applyFill="1" applyAlignment="1"/>
    <xf numFmtId="0" fontId="12" fillId="0" borderId="21" xfId="16" applyFont="1" applyBorder="1" applyAlignment="1">
      <alignment horizontal="center" wrapText="1"/>
    </xf>
    <xf numFmtId="0" fontId="12" fillId="0" borderId="23" xfId="16" applyFont="1" applyBorder="1" applyAlignment="1">
      <alignment horizontal="center" wrapText="1"/>
    </xf>
    <xf numFmtId="0" fontId="10" fillId="0" borderId="19" xfId="16" applyFont="1" applyBorder="1"/>
    <xf numFmtId="166" fontId="10" fillId="12" borderId="0" xfId="19" applyNumberFormat="1" applyFont="1" applyFill="1"/>
    <xf numFmtId="166" fontId="10" fillId="0" borderId="0" xfId="19" applyNumberFormat="1" applyFont="1" applyFill="1"/>
    <xf numFmtId="0" fontId="10" fillId="0" borderId="0" xfId="17" applyNumberFormat="1" applyFont="1" applyFill="1" applyAlignment="1">
      <alignment horizontal="right"/>
    </xf>
    <xf numFmtId="0" fontId="12" fillId="0" borderId="30" xfId="16" applyFont="1" applyBorder="1" applyAlignment="1">
      <alignment horizontal="center" wrapText="1"/>
    </xf>
    <xf numFmtId="0" fontId="12" fillId="0" borderId="31" xfId="16" applyFont="1" applyBorder="1" applyAlignment="1">
      <alignment horizontal="center" wrapText="1"/>
    </xf>
    <xf numFmtId="0" fontId="12" fillId="0" borderId="0" xfId="20" applyFont="1"/>
    <xf numFmtId="166" fontId="10" fillId="7" borderId="0" xfId="19" applyNumberFormat="1" applyFont="1" applyFill="1"/>
    <xf numFmtId="0" fontId="34" fillId="0" borderId="0" xfId="16" applyFont="1"/>
    <xf numFmtId="0" fontId="10" fillId="0" borderId="0" xfId="16" applyFont="1" applyAlignment="1">
      <alignment horizontal="center"/>
    </xf>
    <xf numFmtId="0" fontId="12" fillId="0" borderId="37" xfId="16" applyFont="1" applyBorder="1" applyAlignment="1">
      <alignment horizontal="center" vertical="center" wrapText="1"/>
    </xf>
    <xf numFmtId="0" fontId="35" fillId="0" borderId="37" xfId="16" applyFont="1" applyBorder="1" applyAlignment="1">
      <alignment horizontal="center" vertical="center" wrapText="1"/>
    </xf>
    <xf numFmtId="0" fontId="10" fillId="0" borderId="27" xfId="16" applyFont="1" applyBorder="1"/>
    <xf numFmtId="0" fontId="12" fillId="15" borderId="39" xfId="16" applyFont="1" applyFill="1" applyBorder="1" applyAlignment="1">
      <alignment horizontal="center" vertical="center" wrapText="1"/>
    </xf>
    <xf numFmtId="0" fontId="12" fillId="15" borderId="40" xfId="16" applyFont="1" applyFill="1" applyBorder="1" applyAlignment="1">
      <alignment horizontal="center" vertical="center" wrapText="1"/>
    </xf>
    <xf numFmtId="0" fontId="12" fillId="13" borderId="34" xfId="16" applyFont="1" applyFill="1" applyBorder="1" applyAlignment="1">
      <alignment horizontal="center" vertical="center" wrapText="1"/>
    </xf>
    <xf numFmtId="0" fontId="12" fillId="13" borderId="2" xfId="16" applyFont="1" applyFill="1" applyBorder="1" applyAlignment="1">
      <alignment horizontal="center" vertical="center" wrapText="1"/>
    </xf>
    <xf numFmtId="0" fontId="12" fillId="13" borderId="41" xfId="16" applyFont="1" applyFill="1" applyBorder="1" applyAlignment="1">
      <alignment horizontal="center" vertical="center" wrapText="1"/>
    </xf>
    <xf numFmtId="0" fontId="10" fillId="14" borderId="42" xfId="20" applyFont="1" applyFill="1" applyBorder="1" applyAlignment="1">
      <alignment horizontal="center"/>
    </xf>
    <xf numFmtId="9" fontId="10" fillId="14" borderId="14" xfId="20" applyNumberFormat="1" applyFont="1" applyFill="1" applyBorder="1" applyAlignment="1">
      <alignment horizontal="center"/>
    </xf>
    <xf numFmtId="0" fontId="10" fillId="14" borderId="14" xfId="20" applyFont="1" applyFill="1" applyBorder="1" applyAlignment="1">
      <alignment horizontal="center"/>
    </xf>
    <xf numFmtId="9" fontId="10" fillId="14" borderId="43" xfId="20" applyNumberFormat="1" applyFont="1" applyFill="1" applyBorder="1" applyAlignment="1">
      <alignment horizontal="center"/>
    </xf>
    <xf numFmtId="0" fontId="10" fillId="0" borderId="0" xfId="20" applyFont="1"/>
    <xf numFmtId="0" fontId="10" fillId="0" borderId="0" xfId="16" applyFont="1" applyAlignment="1">
      <alignment horizontal="center" vertical="center"/>
    </xf>
    <xf numFmtId="0" fontId="27" fillId="9" borderId="0" xfId="16" applyFont="1" applyFill="1" applyAlignment="1">
      <alignment horizontal="center" vertical="center" wrapText="1"/>
    </xf>
    <xf numFmtId="178" fontId="37" fillId="0" borderId="26" xfId="17" applyNumberFormat="1" applyFont="1" applyFill="1" applyBorder="1" applyAlignment="1"/>
    <xf numFmtId="0" fontId="10" fillId="0" borderId="38" xfId="16" applyFont="1" applyBorder="1" applyAlignment="1">
      <alignment horizontal="center"/>
    </xf>
    <xf numFmtId="0" fontId="10" fillId="0" borderId="27" xfId="16" applyFont="1" applyBorder="1" applyAlignment="1">
      <alignment horizontal="center"/>
    </xf>
    <xf numFmtId="166" fontId="10" fillId="0" borderId="27" xfId="18" applyNumberFormat="1" applyFont="1" applyFill="1" applyBorder="1" applyAlignment="1">
      <alignment horizontal="center"/>
    </xf>
    <xf numFmtId="0" fontId="10" fillId="0" borderId="26" xfId="16" applyFont="1" applyBorder="1"/>
    <xf numFmtId="0" fontId="10" fillId="0" borderId="28" xfId="16" applyFont="1" applyBorder="1"/>
    <xf numFmtId="166" fontId="10" fillId="0" borderId="44" xfId="18" applyNumberFormat="1" applyFont="1" applyFill="1" applyBorder="1"/>
    <xf numFmtId="166" fontId="10" fillId="0" borderId="27" xfId="18" applyNumberFormat="1" applyFont="1" applyFill="1" applyBorder="1"/>
    <xf numFmtId="166" fontId="10" fillId="0" borderId="45" xfId="18" applyNumberFormat="1" applyFont="1" applyFill="1" applyBorder="1"/>
    <xf numFmtId="166" fontId="12" fillId="0" borderId="46" xfId="18" applyNumberFormat="1" applyFont="1" applyFill="1" applyBorder="1" applyAlignment="1">
      <alignment vertical="center" wrapText="1"/>
    </xf>
    <xf numFmtId="5" fontId="10" fillId="7" borderId="47" xfId="20" applyNumberFormat="1" applyFont="1" applyFill="1" applyBorder="1" applyAlignment="1">
      <alignment horizontal="center"/>
    </xf>
    <xf numFmtId="9" fontId="10" fillId="7" borderId="47" xfId="21" applyFont="1" applyFill="1" applyBorder="1" applyAlignment="1">
      <alignment horizontal="center"/>
    </xf>
    <xf numFmtId="0" fontId="10" fillId="0" borderId="47" xfId="16" applyFont="1" applyBorder="1"/>
    <xf numFmtId="9" fontId="10" fillId="0" borderId="27" xfId="20" applyNumberFormat="1" applyFont="1" applyBorder="1"/>
    <xf numFmtId="0" fontId="10" fillId="0" borderId="47" xfId="20" applyFont="1" applyBorder="1"/>
    <xf numFmtId="0" fontId="10" fillId="17" borderId="0" xfId="16" applyFont="1" applyFill="1"/>
    <xf numFmtId="0" fontId="10" fillId="17" borderId="0" xfId="17" applyNumberFormat="1" applyFont="1" applyFill="1" applyAlignment="1">
      <alignment horizontal="right"/>
    </xf>
    <xf numFmtId="166" fontId="10" fillId="16" borderId="48" xfId="18" applyNumberFormat="1" applyFont="1" applyFill="1" applyBorder="1"/>
    <xf numFmtId="164" fontId="10" fillId="17" borderId="0" xfId="22" applyNumberFormat="1" applyFont="1" applyFill="1" applyAlignment="1">
      <alignment horizontal="center"/>
    </xf>
    <xf numFmtId="9" fontId="10" fillId="17" borderId="0" xfId="22" applyFont="1" applyFill="1" applyAlignment="1">
      <alignment horizontal="center"/>
    </xf>
    <xf numFmtId="166" fontId="10" fillId="17" borderId="0" xfId="18" applyNumberFormat="1" applyFont="1" applyFill="1" applyAlignment="1">
      <alignment horizontal="center"/>
    </xf>
    <xf numFmtId="9" fontId="10" fillId="17" borderId="0" xfId="22" applyFont="1" applyFill="1" applyAlignment="1">
      <alignment horizontal="center" wrapText="1"/>
    </xf>
    <xf numFmtId="0" fontId="10" fillId="17" borderId="0" xfId="16" applyFont="1" applyFill="1" applyAlignment="1">
      <alignment horizontal="center"/>
    </xf>
    <xf numFmtId="0" fontId="31" fillId="17" borderId="0" xfId="16" applyFont="1" applyFill="1"/>
    <xf numFmtId="164" fontId="10" fillId="0" borderId="0" xfId="22" applyNumberFormat="1" applyFont="1" applyFill="1"/>
    <xf numFmtId="9" fontId="10" fillId="0" borderId="0" xfId="22" applyFont="1" applyFill="1"/>
    <xf numFmtId="9" fontId="14" fillId="0" borderId="0" xfId="22" applyFont="1" applyFill="1" applyAlignment="1">
      <alignment wrapText="1"/>
    </xf>
    <xf numFmtId="44" fontId="10" fillId="0" borderId="0" xfId="19" applyFont="1" applyFill="1"/>
    <xf numFmtId="164" fontId="10" fillId="17" borderId="0" xfId="22" applyNumberFormat="1" applyFont="1" applyFill="1"/>
    <xf numFmtId="9" fontId="10" fillId="17" borderId="0" xfId="22" applyFont="1" applyFill="1"/>
    <xf numFmtId="166" fontId="10" fillId="18" borderId="0" xfId="18" applyNumberFormat="1" applyFont="1" applyFill="1"/>
    <xf numFmtId="166" fontId="10" fillId="18" borderId="0" xfId="18" applyNumberFormat="1" applyFont="1" applyFill="1" applyAlignment="1">
      <alignment horizontal="center"/>
    </xf>
    <xf numFmtId="166" fontId="10" fillId="19" borderId="0" xfId="22" applyNumberFormat="1" applyFont="1" applyFill="1"/>
    <xf numFmtId="9" fontId="10" fillId="19" borderId="0" xfId="22" applyFont="1" applyFill="1" applyAlignment="1">
      <alignment horizontal="center"/>
    </xf>
    <xf numFmtId="166" fontId="10" fillId="0" borderId="0" xfId="16" applyNumberFormat="1" applyFont="1"/>
    <xf numFmtId="5" fontId="10" fillId="0" borderId="0" xfId="16" applyNumberFormat="1" applyFont="1"/>
    <xf numFmtId="0" fontId="12" fillId="16" borderId="3" xfId="16" applyFont="1" applyFill="1" applyBorder="1" applyAlignment="1">
      <alignment horizontal="center" vertical="center"/>
    </xf>
    <xf numFmtId="166" fontId="10" fillId="19" borderId="0" xfId="19" applyNumberFormat="1" applyFont="1" applyFill="1"/>
    <xf numFmtId="10" fontId="10" fillId="18" borderId="0" xfId="21" applyNumberFormat="1" applyFont="1" applyFill="1"/>
    <xf numFmtId="166" fontId="10" fillId="18" borderId="0" xfId="20" applyNumberFormat="1" applyFont="1" applyFill="1" applyAlignment="1">
      <alignment horizontal="center"/>
    </xf>
    <xf numFmtId="166" fontId="10" fillId="19" borderId="0" xfId="18" applyNumberFormat="1" applyFont="1" applyFill="1" applyBorder="1"/>
    <xf numFmtId="0" fontId="10" fillId="19" borderId="0" xfId="20" applyFont="1" applyFill="1"/>
    <xf numFmtId="5" fontId="10" fillId="19" borderId="0" xfId="20" applyNumberFormat="1" applyFont="1" applyFill="1" applyAlignment="1">
      <alignment horizontal="center"/>
    </xf>
    <xf numFmtId="9" fontId="10" fillId="19" borderId="0" xfId="21" applyFont="1" applyFill="1" applyBorder="1" applyAlignment="1">
      <alignment horizontal="center"/>
    </xf>
    <xf numFmtId="5" fontId="10" fillId="19" borderId="0" xfId="20" applyNumberFormat="1" applyFont="1" applyFill="1"/>
    <xf numFmtId="5" fontId="12" fillId="19" borderId="0" xfId="20" applyNumberFormat="1" applyFont="1" applyFill="1" applyAlignment="1">
      <alignment horizontal="center"/>
    </xf>
    <xf numFmtId="166" fontId="10" fillId="17" borderId="0" xfId="16" applyNumberFormat="1" applyFont="1" applyFill="1"/>
    <xf numFmtId="166" fontId="10" fillId="17" borderId="0" xfId="19" applyNumberFormat="1" applyFont="1" applyFill="1"/>
    <xf numFmtId="166" fontId="31" fillId="17" borderId="0" xfId="19" applyNumberFormat="1" applyFont="1" applyFill="1"/>
    <xf numFmtId="166" fontId="10" fillId="0" borderId="3" xfId="19" applyNumberFormat="1" applyFont="1" applyFill="1" applyBorder="1"/>
    <xf numFmtId="166" fontId="10" fillId="0" borderId="3" xfId="16" applyNumberFormat="1" applyFont="1" applyBorder="1"/>
    <xf numFmtId="0" fontId="37" fillId="0" borderId="0" xfId="16" applyFont="1" applyAlignment="1">
      <alignment horizontal="right"/>
    </xf>
    <xf numFmtId="9" fontId="37" fillId="0" borderId="0" xfId="22" applyFont="1" applyFill="1"/>
    <xf numFmtId="166" fontId="37" fillId="0" borderId="0" xfId="18" applyNumberFormat="1" applyFont="1" applyFill="1"/>
    <xf numFmtId="10" fontId="37" fillId="0" borderId="0" xfId="16" applyNumberFormat="1" applyFont="1"/>
    <xf numFmtId="0" fontId="37" fillId="0" borderId="0" xfId="16" applyFont="1"/>
    <xf numFmtId="166" fontId="37" fillId="0" borderId="0" xfId="16" applyNumberFormat="1" applyFont="1"/>
    <xf numFmtId="166" fontId="37" fillId="0" borderId="0" xfId="18" applyNumberFormat="1" applyFont="1" applyFill="1" applyBorder="1"/>
    <xf numFmtId="5" fontId="10" fillId="0" borderId="0" xfId="20" applyNumberFormat="1" applyFont="1" applyAlignment="1">
      <alignment horizontal="center"/>
    </xf>
    <xf numFmtId="9" fontId="10" fillId="0" borderId="0" xfId="21" applyFont="1" applyFill="1" applyBorder="1" applyAlignment="1">
      <alignment horizontal="center"/>
    </xf>
    <xf numFmtId="5" fontId="12" fillId="0" borderId="0" xfId="20" applyNumberFormat="1" applyFont="1" applyAlignment="1">
      <alignment horizontal="center"/>
    </xf>
    <xf numFmtId="0" fontId="38" fillId="0" borderId="0" xfId="16" applyFont="1"/>
    <xf numFmtId="10" fontId="10" fillId="18" borderId="0" xfId="2" applyNumberFormat="1" applyFont="1" applyFill="1"/>
    <xf numFmtId="166" fontId="37" fillId="17" borderId="0" xfId="16" applyNumberFormat="1" applyFont="1" applyFill="1"/>
    <xf numFmtId="166" fontId="31" fillId="17" borderId="0" xfId="16" applyNumberFormat="1" applyFont="1" applyFill="1"/>
    <xf numFmtId="166" fontId="10" fillId="0" borderId="6" xfId="23" applyNumberFormat="1" applyFont="1" applyFill="1" applyBorder="1"/>
    <xf numFmtId="166" fontId="10" fillId="0" borderId="3" xfId="23" applyNumberFormat="1" applyFont="1" applyFill="1" applyBorder="1"/>
    <xf numFmtId="166" fontId="10" fillId="0" borderId="0" xfId="22" applyNumberFormat="1" applyFont="1" applyFill="1"/>
    <xf numFmtId="10" fontId="10" fillId="0" borderId="0" xfId="2" applyNumberFormat="1" applyFont="1" applyFill="1"/>
    <xf numFmtId="166" fontId="10" fillId="0" borderId="0" xfId="18" applyNumberFormat="1" applyFont="1" applyFill="1" applyBorder="1"/>
    <xf numFmtId="5" fontId="10" fillId="0" borderId="0" xfId="20" applyNumberFormat="1" applyFont="1"/>
    <xf numFmtId="166" fontId="31" fillId="0" borderId="0" xfId="16" applyNumberFormat="1" applyFont="1"/>
    <xf numFmtId="166" fontId="12" fillId="0" borderId="0" xfId="16" applyNumberFormat="1" applyFont="1"/>
    <xf numFmtId="165" fontId="10" fillId="18" borderId="0" xfId="2" applyNumberFormat="1" applyFont="1" applyFill="1"/>
    <xf numFmtId="166" fontId="12" fillId="17" borderId="37" xfId="16" applyNumberFormat="1" applyFont="1" applyFill="1" applyBorder="1"/>
    <xf numFmtId="166" fontId="12" fillId="0" borderId="6" xfId="23" applyNumberFormat="1" applyFont="1" applyFill="1" applyBorder="1"/>
    <xf numFmtId="166" fontId="12" fillId="0" borderId="3" xfId="23" applyNumberFormat="1" applyFont="1" applyFill="1" applyBorder="1"/>
    <xf numFmtId="166" fontId="12" fillId="0" borderId="0" xfId="23" applyNumberFormat="1" applyFont="1" applyFill="1" applyBorder="1"/>
    <xf numFmtId="0" fontId="37" fillId="0" borderId="0" xfId="17" applyNumberFormat="1" applyFont="1" applyFill="1" applyAlignment="1">
      <alignment horizontal="right"/>
    </xf>
    <xf numFmtId="0" fontId="12" fillId="20" borderId="18" xfId="16" applyFont="1" applyFill="1" applyBorder="1" applyAlignment="1">
      <alignment horizontal="center"/>
    </xf>
    <xf numFmtId="166" fontId="12" fillId="20" borderId="20" xfId="23" applyNumberFormat="1" applyFont="1" applyFill="1" applyBorder="1" applyAlignment="1">
      <alignment horizontal="center"/>
    </xf>
    <xf numFmtId="41" fontId="10" fillId="7" borderId="0" xfId="16" applyNumberFormat="1" applyFont="1" applyFill="1"/>
    <xf numFmtId="0" fontId="12" fillId="13" borderId="51" xfId="16" applyFont="1" applyFill="1" applyBorder="1" applyAlignment="1">
      <alignment horizontal="center" vertical="center" wrapText="1"/>
    </xf>
    <xf numFmtId="178" fontId="37" fillId="0" borderId="30" xfId="17" applyNumberFormat="1" applyFont="1" applyFill="1" applyBorder="1" applyAlignment="1"/>
    <xf numFmtId="0" fontId="10" fillId="0" borderId="28" xfId="16" applyFont="1" applyBorder="1" applyAlignment="1">
      <alignment horizontal="center"/>
    </xf>
    <xf numFmtId="166" fontId="10" fillId="0" borderId="52" xfId="18" applyNumberFormat="1" applyFont="1" applyFill="1" applyBorder="1"/>
    <xf numFmtId="0" fontId="12" fillId="0" borderId="0" xfId="16" applyFont="1" applyAlignment="1">
      <alignment horizontal="center" vertical="center"/>
    </xf>
    <xf numFmtId="166" fontId="10" fillId="19" borderId="0" xfId="23" applyNumberFormat="1" applyFont="1" applyFill="1" applyAlignment="1">
      <alignment wrapText="1"/>
    </xf>
    <xf numFmtId="9" fontId="10" fillId="19" borderId="0" xfId="22" applyFont="1" applyFill="1" applyAlignment="1">
      <alignment horizontal="center" wrapText="1"/>
    </xf>
    <xf numFmtId="166" fontId="10" fillId="19" borderId="0" xfId="23" applyNumberFormat="1" applyFont="1" applyFill="1" applyAlignment="1">
      <alignment horizontal="center"/>
    </xf>
    <xf numFmtId="166" fontId="10" fillId="18" borderId="0" xfId="23" applyNumberFormat="1" applyFont="1" applyFill="1"/>
    <xf numFmtId="0" fontId="10" fillId="18" borderId="0" xfId="16" applyFont="1" applyFill="1" applyAlignment="1">
      <alignment horizontal="center"/>
    </xf>
    <xf numFmtId="166" fontId="10" fillId="19" borderId="0" xfId="16" applyNumberFormat="1" applyFont="1" applyFill="1"/>
    <xf numFmtId="0" fontId="10" fillId="19" borderId="0" xfId="16" applyFont="1" applyFill="1"/>
    <xf numFmtId="179" fontId="10" fillId="19" borderId="0" xfId="16" applyNumberFormat="1" applyFont="1" applyFill="1" applyAlignment="1">
      <alignment horizontal="center"/>
    </xf>
    <xf numFmtId="9" fontId="10" fillId="19" borderId="0" xfId="21" applyFont="1" applyFill="1" applyAlignment="1">
      <alignment horizontal="center"/>
    </xf>
    <xf numFmtId="179" fontId="10" fillId="19" borderId="0" xfId="23" applyNumberFormat="1" applyFont="1" applyFill="1" applyAlignment="1">
      <alignment horizontal="center"/>
    </xf>
    <xf numFmtId="179" fontId="12" fillId="19" borderId="0" xfId="16" applyNumberFormat="1" applyFont="1" applyFill="1" applyAlignment="1">
      <alignment horizontal="center"/>
    </xf>
    <xf numFmtId="166" fontId="10" fillId="17" borderId="0" xfId="23" applyNumberFormat="1" applyFont="1" applyFill="1"/>
    <xf numFmtId="166" fontId="10" fillId="17" borderId="0" xfId="23" applyNumberFormat="1" applyFont="1" applyFill="1" applyAlignment="1">
      <alignment horizontal="center"/>
    </xf>
    <xf numFmtId="166" fontId="31" fillId="17" borderId="0" xfId="23" applyNumberFormat="1" applyFont="1" applyFill="1"/>
    <xf numFmtId="166" fontId="12" fillId="17" borderId="0" xfId="16" applyNumberFormat="1" applyFont="1" applyFill="1"/>
    <xf numFmtId="166" fontId="12" fillId="0" borderId="3" xfId="19" applyNumberFormat="1" applyFont="1" applyFill="1" applyBorder="1"/>
    <xf numFmtId="166" fontId="12" fillId="0" borderId="3" xfId="16" applyNumberFormat="1" applyFont="1" applyBorder="1"/>
    <xf numFmtId="166" fontId="10" fillId="0" borderId="0" xfId="18" applyNumberFormat="1" applyFont="1" applyFill="1" applyAlignment="1">
      <alignment horizontal="right"/>
    </xf>
    <xf numFmtId="0" fontId="10" fillId="0" borderId="0" xfId="16" applyFont="1" applyAlignment="1">
      <alignment horizontal="right"/>
    </xf>
    <xf numFmtId="44" fontId="10" fillId="0" borderId="0" xfId="16" applyNumberFormat="1" applyFont="1"/>
    <xf numFmtId="166" fontId="12" fillId="20" borderId="20" xfId="16" applyNumberFormat="1" applyFont="1" applyFill="1" applyBorder="1" applyAlignment="1">
      <alignment horizontal="center"/>
    </xf>
    <xf numFmtId="44" fontId="10" fillId="0" borderId="0" xfId="19" applyFont="1" applyFill="1" applyAlignment="1">
      <alignment horizontal="center"/>
    </xf>
    <xf numFmtId="166" fontId="10" fillId="19" borderId="0" xfId="23" applyNumberFormat="1" applyFont="1" applyFill="1"/>
    <xf numFmtId="5" fontId="10" fillId="19" borderId="0" xfId="16" applyNumberFormat="1" applyFont="1" applyFill="1" applyAlignment="1">
      <alignment horizontal="center"/>
    </xf>
    <xf numFmtId="0" fontId="38" fillId="0" borderId="0" xfId="16" applyFont="1" applyAlignment="1">
      <alignment horizontal="right"/>
    </xf>
    <xf numFmtId="44" fontId="38" fillId="0" borderId="0" xfId="15" applyFont="1" applyFill="1"/>
    <xf numFmtId="0" fontId="31" fillId="0" borderId="0" xfId="16" applyFont="1" applyAlignment="1">
      <alignment vertical="top" wrapText="1"/>
    </xf>
    <xf numFmtId="166" fontId="31" fillId="0" borderId="0" xfId="16" applyNumberFormat="1" applyFont="1" applyAlignment="1">
      <alignment vertical="top" wrapText="1"/>
    </xf>
    <xf numFmtId="0" fontId="40" fillId="0" borderId="0" xfId="16" applyFont="1"/>
    <xf numFmtId="0" fontId="20" fillId="0" borderId="0" xfId="16" applyFont="1"/>
    <xf numFmtId="0" fontId="11" fillId="0" borderId="0" xfId="16" applyFont="1"/>
    <xf numFmtId="166" fontId="38" fillId="0" borderId="0" xfId="16" applyNumberFormat="1" applyFont="1"/>
    <xf numFmtId="166" fontId="10" fillId="0" borderId="0" xfId="15" applyNumberFormat="1" applyFont="1"/>
    <xf numFmtId="44" fontId="38" fillId="0" borderId="0" xfId="16" applyNumberFormat="1" applyFont="1"/>
    <xf numFmtId="0" fontId="37" fillId="0" borderId="0" xfId="16" applyFont="1" applyAlignment="1">
      <alignment vertical="top"/>
    </xf>
    <xf numFmtId="0" fontId="10" fillId="19" borderId="0" xfId="16" applyFont="1" applyFill="1" applyAlignment="1">
      <alignment horizontal="center"/>
    </xf>
    <xf numFmtId="166" fontId="10" fillId="18" borderId="0" xfId="23" applyNumberFormat="1" applyFont="1" applyFill="1" applyBorder="1" applyAlignment="1">
      <alignment horizontal="center"/>
    </xf>
    <xf numFmtId="165" fontId="10" fillId="18" borderId="0" xfId="21" applyNumberFormat="1" applyFont="1" applyFill="1"/>
    <xf numFmtId="0" fontId="31" fillId="0" borderId="0" xfId="16" applyFont="1" applyAlignment="1">
      <alignment horizontal="left" vertical="top" wrapText="1"/>
    </xf>
    <xf numFmtId="0" fontId="21" fillId="0" borderId="0" xfId="12" applyFont="1" applyAlignment="1">
      <alignment wrapText="1"/>
    </xf>
    <xf numFmtId="0" fontId="21" fillId="0" borderId="3" xfId="12" applyFont="1" applyBorder="1" applyAlignment="1">
      <alignment horizontal="center" wrapText="1"/>
    </xf>
    <xf numFmtId="42" fontId="10" fillId="0" borderId="1" xfId="24" applyNumberFormat="1" applyFont="1" applyBorder="1"/>
    <xf numFmtId="42" fontId="12" fillId="0" borderId="8" xfId="24" applyNumberFormat="1" applyFont="1" applyBorder="1"/>
    <xf numFmtId="41" fontId="21" fillId="0" borderId="1" xfId="12" applyNumberFormat="1" applyFont="1" applyBorder="1"/>
    <xf numFmtId="41" fontId="10" fillId="0" borderId="4" xfId="24" applyNumberFormat="1" applyFont="1" applyBorder="1"/>
    <xf numFmtId="41" fontId="12" fillId="0" borderId="9" xfId="24" applyNumberFormat="1" applyFont="1" applyBorder="1"/>
    <xf numFmtId="41" fontId="21" fillId="0" borderId="4" xfId="12" applyNumberFormat="1" applyFont="1" applyBorder="1"/>
    <xf numFmtId="41" fontId="10" fillId="0" borderId="2" xfId="24" applyNumberFormat="1" applyFont="1" applyBorder="1"/>
    <xf numFmtId="41" fontId="12" fillId="0" borderId="16" xfId="24" applyNumberFormat="1" applyFont="1" applyBorder="1"/>
    <xf numFmtId="41" fontId="21" fillId="0" borderId="2" xfId="12" applyNumberFormat="1" applyFont="1" applyBorder="1"/>
    <xf numFmtId="4" fontId="12" fillId="0" borderId="3" xfId="9" applyNumberFormat="1" applyFont="1" applyBorder="1" applyAlignment="1"/>
    <xf numFmtId="43" fontId="12" fillId="0" borderId="3" xfId="9" applyNumberFormat="1" applyFont="1" applyBorder="1" applyAlignment="1"/>
    <xf numFmtId="0" fontId="10" fillId="0" borderId="0" xfId="11" applyFont="1"/>
    <xf numFmtId="0" fontId="33" fillId="0" borderId="0" xfId="11" applyFont="1" applyAlignment="1">
      <alignment horizontal="center"/>
    </xf>
    <xf numFmtId="0" fontId="42" fillId="0" borderId="0" xfId="11" applyFont="1"/>
    <xf numFmtId="0" fontId="14" fillId="0" borderId="0" xfId="11" applyFont="1"/>
    <xf numFmtId="4" fontId="20" fillId="0" borderId="0" xfId="7" applyNumberFormat="1" applyFont="1" applyAlignment="1">
      <alignment horizontal="center"/>
    </xf>
    <xf numFmtId="15" fontId="33" fillId="0" borderId="0" xfId="11" applyNumberFormat="1" applyFont="1" applyAlignment="1">
      <alignment horizontal="center"/>
    </xf>
    <xf numFmtId="15" fontId="20" fillId="0" borderId="0" xfId="11" applyNumberFormat="1" applyFont="1"/>
    <xf numFmtId="0" fontId="10" fillId="5" borderId="0" xfId="11" applyFont="1" applyFill="1"/>
    <xf numFmtId="0" fontId="33" fillId="0" borderId="0" xfId="11" applyFont="1" applyAlignment="1">
      <alignment wrapText="1"/>
    </xf>
    <xf numFmtId="0" fontId="20" fillId="0" borderId="3" xfId="11" applyFont="1" applyBorder="1" applyAlignment="1">
      <alignment horizontal="center" vertical="center" wrapText="1"/>
    </xf>
    <xf numFmtId="0" fontId="20" fillId="0" borderId="6" xfId="11" applyFont="1" applyBorder="1" applyAlignment="1">
      <alignment horizontal="center" vertical="center" wrapText="1"/>
    </xf>
    <xf numFmtId="0" fontId="20" fillId="0" borderId="7" xfId="11" applyFont="1" applyBorder="1" applyAlignment="1">
      <alignment horizontal="center" vertical="center" wrapText="1"/>
    </xf>
    <xf numFmtId="0" fontId="20" fillId="21" borderId="0" xfId="11" applyFont="1" applyFill="1" applyAlignment="1">
      <alignment horizontal="center" vertical="center" wrapText="1"/>
    </xf>
    <xf numFmtId="0" fontId="43" fillId="0" borderId="3" xfId="11" applyFont="1" applyBorder="1"/>
    <xf numFmtId="4" fontId="20" fillId="0" borderId="3" xfId="11" applyNumberFormat="1" applyFont="1" applyBorder="1"/>
    <xf numFmtId="0" fontId="20" fillId="0" borderId="3" xfId="11" applyFont="1" applyBorder="1"/>
    <xf numFmtId="0" fontId="20" fillId="5" borderId="0" xfId="11" applyFont="1" applyFill="1" applyAlignment="1">
      <alignment horizontal="center"/>
    </xf>
    <xf numFmtId="0" fontId="43" fillId="0" borderId="3" xfId="11" applyFont="1" applyBorder="1" applyAlignment="1">
      <alignment wrapText="1"/>
    </xf>
    <xf numFmtId="180" fontId="25" fillId="0" borderId="0" xfId="25" applyNumberFormat="1" applyFont="1"/>
    <xf numFmtId="0" fontId="33" fillId="0" borderId="3" xfId="11" applyFont="1" applyBorder="1"/>
    <xf numFmtId="4" fontId="33" fillId="0" borderId="3" xfId="11" applyNumberFormat="1" applyFont="1" applyBorder="1"/>
    <xf numFmtId="0" fontId="10" fillId="0" borderId="0" xfId="11" applyFont="1" applyAlignment="1">
      <alignment horizontal="center"/>
    </xf>
    <xf numFmtId="180" fontId="44" fillId="0" borderId="0" xfId="26" applyNumberFormat="1" applyFont="1"/>
    <xf numFmtId="4" fontId="10" fillId="0" borderId="0" xfId="11" applyNumberFormat="1" applyFont="1"/>
    <xf numFmtId="0" fontId="33" fillId="0" borderId="0" xfId="11" applyFont="1"/>
    <xf numFmtId="0" fontId="33" fillId="0" borderId="3" xfId="11" applyFont="1" applyBorder="1" applyAlignment="1">
      <alignment horizontal="center" vertical="center" wrapText="1"/>
    </xf>
    <xf numFmtId="181" fontId="43" fillId="0" borderId="3" xfId="11" applyNumberFormat="1" applyFont="1" applyBorder="1" applyAlignment="1">
      <alignment horizontal="center" vertical="center" wrapText="1"/>
    </xf>
    <xf numFmtId="181" fontId="20" fillId="0" borderId="3" xfId="11" applyNumberFormat="1" applyFont="1" applyBorder="1" applyAlignment="1">
      <alignment horizontal="center" vertical="center" wrapText="1"/>
    </xf>
    <xf numFmtId="181" fontId="45" fillId="0" borderId="3" xfId="11" applyNumberFormat="1" applyFont="1" applyBorder="1" applyAlignment="1">
      <alignment horizontal="center" vertical="center" wrapText="1"/>
    </xf>
    <xf numFmtId="181" fontId="43" fillId="0" borderId="3" xfId="11" applyNumberFormat="1" applyFont="1" applyBorder="1" applyAlignment="1">
      <alignment vertical="center" wrapText="1"/>
    </xf>
    <xf numFmtId="0" fontId="43" fillId="0" borderId="54" xfId="11" applyFont="1" applyBorder="1"/>
    <xf numFmtId="182" fontId="43" fillId="22" borderId="8" xfId="11" applyNumberFormat="1" applyFont="1" applyFill="1" applyBorder="1" applyAlignment="1" applyProtection="1">
      <alignment horizontal="right"/>
      <protection locked="0"/>
    </xf>
    <xf numFmtId="4" fontId="20" fillId="5" borderId="3" xfId="11" applyNumberFormat="1" applyFont="1" applyFill="1" applyBorder="1"/>
    <xf numFmtId="4" fontId="20" fillId="8" borderId="3" xfId="11" applyNumberFormat="1" applyFont="1" applyFill="1" applyBorder="1"/>
    <xf numFmtId="4" fontId="33" fillId="5" borderId="3" xfId="11" applyNumberFormat="1" applyFont="1" applyFill="1" applyBorder="1"/>
    <xf numFmtId="0" fontId="33" fillId="0" borderId="3" xfId="11" applyFont="1" applyBorder="1" applyAlignment="1">
      <alignment horizontal="center"/>
    </xf>
    <xf numFmtId="0" fontId="43" fillId="0" borderId="9" xfId="11" applyFont="1" applyBorder="1"/>
    <xf numFmtId="182" fontId="43" fillId="22" borderId="9" xfId="11" applyNumberFormat="1" applyFont="1" applyFill="1" applyBorder="1" applyAlignment="1" applyProtection="1">
      <alignment horizontal="right"/>
      <protection locked="0"/>
    </xf>
    <xf numFmtId="182" fontId="43" fillId="22" borderId="4" xfId="11" applyNumberFormat="1" applyFont="1" applyFill="1" applyBorder="1" applyAlignment="1" applyProtection="1">
      <alignment horizontal="right"/>
      <protection locked="0"/>
    </xf>
    <xf numFmtId="0" fontId="43" fillId="0" borderId="2" xfId="11" applyFont="1" applyBorder="1"/>
    <xf numFmtId="182" fontId="43" fillId="22" borderId="2" xfId="11" applyNumberFormat="1" applyFont="1" applyFill="1" applyBorder="1" applyAlignment="1" applyProtection="1">
      <alignment horizontal="right"/>
      <protection locked="0"/>
    </xf>
    <xf numFmtId="0" fontId="20" fillId="0" borderId="0" xfId="11" applyFont="1"/>
    <xf numFmtId="4" fontId="20" fillId="0" borderId="0" xfId="11" applyNumberFormat="1" applyFont="1"/>
    <xf numFmtId="0" fontId="43" fillId="0" borderId="16" xfId="11" applyFont="1" applyBorder="1"/>
    <xf numFmtId="0" fontId="43" fillId="0" borderId="6" xfId="11" applyFont="1" applyBorder="1"/>
    <xf numFmtId="0" fontId="20" fillId="0" borderId="17" xfId="11" applyFont="1" applyBorder="1"/>
    <xf numFmtId="4" fontId="20" fillId="0" borderId="17" xfId="11" applyNumberFormat="1" applyFont="1" applyBorder="1"/>
    <xf numFmtId="4" fontId="33" fillId="0" borderId="7" xfId="11" applyNumberFormat="1" applyFont="1" applyBorder="1"/>
    <xf numFmtId="0" fontId="33" fillId="0" borderId="8" xfId="11" applyFont="1" applyBorder="1" applyAlignment="1">
      <alignment horizontal="center" vertical="center" wrapText="1"/>
    </xf>
    <xf numFmtId="0" fontId="33" fillId="0" borderId="14" xfId="11" applyFont="1" applyBorder="1" applyAlignment="1">
      <alignment horizontal="center" vertical="center" wrapText="1"/>
    </xf>
    <xf numFmtId="0" fontId="33" fillId="0" borderId="11" xfId="11" applyFont="1" applyBorder="1" applyAlignment="1">
      <alignment horizontal="center" vertical="center" wrapText="1"/>
    </xf>
    <xf numFmtId="0" fontId="43" fillId="0" borderId="6" xfId="7" applyFont="1" applyBorder="1"/>
    <xf numFmtId="0" fontId="10" fillId="0" borderId="17" xfId="11" applyFont="1" applyBorder="1"/>
    <xf numFmtId="0" fontId="45" fillId="0" borderId="16" xfId="7" applyFont="1" applyBorder="1"/>
    <xf numFmtId="0" fontId="12" fillId="0" borderId="5" xfId="11" applyFont="1" applyBorder="1"/>
    <xf numFmtId="0" fontId="10" fillId="23" borderId="0" xfId="11" applyFont="1" applyFill="1"/>
    <xf numFmtId="4" fontId="33" fillId="10" borderId="3" xfId="11" applyNumberFormat="1" applyFont="1" applyFill="1" applyBorder="1"/>
    <xf numFmtId="4" fontId="33" fillId="0" borderId="0" xfId="11" applyNumberFormat="1" applyFont="1"/>
    <xf numFmtId="4" fontId="20" fillId="19" borderId="0" xfId="11" applyNumberFormat="1" applyFont="1" applyFill="1" applyAlignment="1">
      <alignment horizontal="center"/>
    </xf>
    <xf numFmtId="0" fontId="20" fillId="5" borderId="0" xfId="11" applyFont="1" applyFill="1"/>
    <xf numFmtId="0" fontId="45" fillId="0" borderId="9" xfId="11" applyFont="1" applyBorder="1"/>
    <xf numFmtId="182" fontId="45" fillId="22" borderId="9" xfId="11" applyNumberFormat="1" applyFont="1" applyFill="1" applyBorder="1" applyAlignment="1" applyProtection="1">
      <alignment horizontal="right"/>
      <protection locked="0"/>
    </xf>
    <xf numFmtId="2" fontId="46" fillId="5" borderId="0" xfId="27" applyNumberFormat="1" applyFont="1" applyFill="1" applyAlignment="1">
      <alignment horizontal="center"/>
    </xf>
    <xf numFmtId="0" fontId="12" fillId="0" borderId="0" xfId="11" applyFont="1"/>
    <xf numFmtId="2" fontId="33" fillId="5" borderId="0" xfId="27" applyNumberFormat="1" applyFont="1" applyFill="1" applyAlignment="1">
      <alignment horizontal="center"/>
    </xf>
    <xf numFmtId="4" fontId="20" fillId="0" borderId="0" xfId="11" applyNumberFormat="1" applyFont="1" applyAlignment="1">
      <alignment horizontal="center"/>
    </xf>
    <xf numFmtId="0" fontId="20" fillId="5" borderId="0" xfId="27" applyFont="1" applyFill="1"/>
    <xf numFmtId="2" fontId="20" fillId="5" borderId="0" xfId="27" applyNumberFormat="1" applyFont="1" applyFill="1" applyAlignment="1">
      <alignment horizontal="center"/>
    </xf>
    <xf numFmtId="176" fontId="20" fillId="5" borderId="0" xfId="28" applyNumberFormat="1" applyFont="1" applyFill="1" applyBorder="1"/>
    <xf numFmtId="2" fontId="20" fillId="5" borderId="0" xfId="27" applyNumberFormat="1" applyFont="1" applyFill="1" applyAlignment="1">
      <alignment horizontal="right"/>
    </xf>
    <xf numFmtId="176" fontId="20" fillId="3" borderId="0" xfId="28" applyNumberFormat="1" applyFont="1" applyFill="1" applyBorder="1"/>
    <xf numFmtId="2" fontId="20" fillId="3" borderId="0" xfId="27" applyNumberFormat="1" applyFont="1" applyFill="1" applyAlignment="1">
      <alignment horizontal="right"/>
    </xf>
    <xf numFmtId="0" fontId="10" fillId="3" borderId="0" xfId="11" applyFont="1" applyFill="1"/>
    <xf numFmtId="0" fontId="20" fillId="24" borderId="0" xfId="11" applyFont="1" applyFill="1" applyAlignment="1">
      <alignment horizontal="center" vertical="center" wrapText="1"/>
    </xf>
    <xf numFmtId="176" fontId="33" fillId="5" borderId="0" xfId="28" applyNumberFormat="1" applyFont="1" applyFill="1" applyBorder="1"/>
    <xf numFmtId="0" fontId="43" fillId="5" borderId="0" xfId="11" applyFont="1" applyFill="1"/>
    <xf numFmtId="4" fontId="20" fillId="5" borderId="0" xfId="11" applyNumberFormat="1" applyFont="1" applyFill="1"/>
    <xf numFmtId="0" fontId="20" fillId="0" borderId="8" xfId="11" applyFont="1" applyBorder="1" applyAlignment="1">
      <alignment horizontal="center" vertical="center" wrapText="1"/>
    </xf>
    <xf numFmtId="181" fontId="20" fillId="0" borderId="3" xfId="11" applyNumberFormat="1" applyFont="1" applyBorder="1" applyAlignment="1">
      <alignment vertical="center" wrapText="1"/>
    </xf>
    <xf numFmtId="42" fontId="20" fillId="5" borderId="3" xfId="11" applyNumberFormat="1" applyFont="1" applyFill="1" applyBorder="1"/>
    <xf numFmtId="42" fontId="20" fillId="10" borderId="3" xfId="11" applyNumberFormat="1" applyFont="1" applyFill="1" applyBorder="1"/>
    <xf numFmtId="41" fontId="20" fillId="10" borderId="3" xfId="11" applyNumberFormat="1" applyFont="1" applyFill="1" applyBorder="1"/>
    <xf numFmtId="42" fontId="33" fillId="5" borderId="3" xfId="11" applyNumberFormat="1" applyFont="1" applyFill="1" applyBorder="1"/>
    <xf numFmtId="41" fontId="20" fillId="5" borderId="3" xfId="11" applyNumberFormat="1" applyFont="1" applyFill="1" applyBorder="1"/>
    <xf numFmtId="41" fontId="33" fillId="5" borderId="3" xfId="11" applyNumberFormat="1" applyFont="1" applyFill="1" applyBorder="1"/>
    <xf numFmtId="41" fontId="20" fillId="0" borderId="3" xfId="11" applyNumberFormat="1" applyFont="1" applyBorder="1"/>
    <xf numFmtId="41" fontId="33" fillId="0" borderId="3" xfId="11" applyNumberFormat="1" applyFont="1" applyBorder="1"/>
    <xf numFmtId="42" fontId="20" fillId="0" borderId="0" xfId="11" applyNumberFormat="1" applyFont="1"/>
    <xf numFmtId="42" fontId="33" fillId="0" borderId="0" xfId="11" applyNumberFormat="1" applyFont="1"/>
    <xf numFmtId="2" fontId="20" fillId="19" borderId="0" xfId="27" applyNumberFormat="1" applyFont="1" applyFill="1" applyAlignment="1">
      <alignment horizontal="center"/>
    </xf>
    <xf numFmtId="0" fontId="20" fillId="19" borderId="0" xfId="11" applyFont="1" applyFill="1" applyAlignment="1">
      <alignment horizontal="center"/>
    </xf>
    <xf numFmtId="43" fontId="10" fillId="0" borderId="0" xfId="11" applyNumberFormat="1" applyFont="1"/>
    <xf numFmtId="0" fontId="20" fillId="0" borderId="9" xfId="11" applyFont="1" applyBorder="1" applyAlignment="1">
      <alignment horizontal="center" vertical="center" wrapText="1"/>
    </xf>
    <xf numFmtId="166" fontId="20" fillId="5" borderId="3" xfId="11" applyNumberFormat="1" applyFont="1" applyFill="1" applyBorder="1"/>
    <xf numFmtId="44" fontId="20" fillId="5" borderId="3" xfId="11" applyNumberFormat="1" applyFont="1" applyFill="1" applyBorder="1"/>
    <xf numFmtId="44" fontId="10" fillId="0" borderId="0" xfId="11" applyNumberFormat="1" applyFont="1"/>
    <xf numFmtId="0" fontId="43" fillId="5" borderId="0" xfId="11" applyFont="1" applyFill="1" applyAlignment="1">
      <alignment horizontal="center"/>
    </xf>
    <xf numFmtId="43" fontId="43" fillId="5" borderId="0" xfId="11" applyNumberFormat="1" applyFont="1" applyFill="1" applyAlignment="1">
      <alignment horizontal="center"/>
    </xf>
    <xf numFmtId="42" fontId="20" fillId="5" borderId="0" xfId="11" applyNumberFormat="1" applyFont="1" applyFill="1"/>
    <xf numFmtId="0" fontId="49" fillId="0" borderId="0" xfId="7" applyFont="1" applyAlignment="1">
      <alignment horizontal="left"/>
    </xf>
    <xf numFmtId="0" fontId="20" fillId="0" borderId="0" xfId="7" applyFont="1"/>
    <xf numFmtId="2" fontId="20" fillId="0" borderId="0" xfId="7" applyNumberFormat="1" applyFont="1"/>
    <xf numFmtId="4" fontId="50" fillId="0" borderId="6" xfId="7" applyNumberFormat="1" applyFont="1" applyBorder="1"/>
    <xf numFmtId="183" fontId="51" fillId="0" borderId="17" xfId="7" applyNumberFormat="1" applyFont="1" applyBorder="1" applyAlignment="1">
      <alignment horizontal="center"/>
    </xf>
    <xf numFmtId="42" fontId="51" fillId="2" borderId="17" xfId="7" applyNumberFormat="1" applyFont="1" applyFill="1" applyBorder="1"/>
    <xf numFmtId="0" fontId="51" fillId="0" borderId="17" xfId="7" applyFont="1" applyBorder="1"/>
    <xf numFmtId="0" fontId="51" fillId="0" borderId="7" xfId="7" applyFont="1" applyBorder="1"/>
    <xf numFmtId="0" fontId="20" fillId="0" borderId="0" xfId="7" applyFont="1" applyAlignment="1">
      <alignment horizontal="center"/>
    </xf>
    <xf numFmtId="14" fontId="20" fillId="0" borderId="0" xfId="7" applyNumberFormat="1" applyFont="1"/>
    <xf numFmtId="180" fontId="22" fillId="0" borderId="0" xfId="26" applyNumberFormat="1" applyFont="1"/>
    <xf numFmtId="0" fontId="52" fillId="0" borderId="0" xfId="7" applyFont="1" applyAlignment="1">
      <alignment horizontal="center"/>
    </xf>
    <xf numFmtId="0" fontId="49" fillId="0" borderId="0" xfId="7" applyFont="1" applyAlignment="1">
      <alignment horizontal="center"/>
    </xf>
    <xf numFmtId="0" fontId="11" fillId="0" borderId="0" xfId="7" applyFont="1" applyAlignment="1">
      <alignment horizontal="center"/>
    </xf>
    <xf numFmtId="0" fontId="53" fillId="0" borderId="0" xfId="7" applyFont="1"/>
    <xf numFmtId="10" fontId="50" fillId="0" borderId="0" xfId="2" applyNumberFormat="1" applyFont="1" applyFill="1"/>
    <xf numFmtId="0" fontId="50" fillId="0" borderId="0" xfId="7" applyFont="1"/>
    <xf numFmtId="0" fontId="50" fillId="0" borderId="0" xfId="7" applyFont="1" applyAlignment="1">
      <alignment horizontal="center"/>
    </xf>
    <xf numFmtId="0" fontId="50" fillId="0" borderId="0" xfId="7" applyFont="1" applyAlignment="1">
      <alignment horizontal="left"/>
    </xf>
    <xf numFmtId="0" fontId="55" fillId="0" borderId="0" xfId="29" applyFont="1" applyAlignment="1">
      <alignment horizontal="center" vertical="center"/>
    </xf>
    <xf numFmtId="0" fontId="40" fillId="0" borderId="0" xfId="7" applyFont="1" applyAlignment="1">
      <alignment horizontal="center"/>
    </xf>
    <xf numFmtId="0" fontId="53" fillId="0" borderId="0" xfId="7" applyFont="1" applyAlignment="1">
      <alignment horizontal="center"/>
    </xf>
    <xf numFmtId="0" fontId="33" fillId="2" borderId="0" xfId="7" applyFont="1" applyFill="1"/>
    <xf numFmtId="0" fontId="20" fillId="0" borderId="3" xfId="7" applyFont="1" applyBorder="1" applyAlignment="1">
      <alignment horizontal="center" wrapText="1"/>
    </xf>
    <xf numFmtId="0" fontId="20" fillId="0" borderId="3" xfId="7" applyFont="1" applyBorder="1" applyAlignment="1">
      <alignment horizontal="center"/>
    </xf>
    <xf numFmtId="4" fontId="20" fillId="0" borderId="0" xfId="7" applyNumberFormat="1" applyFont="1"/>
    <xf numFmtId="42" fontId="50" fillId="2" borderId="0" xfId="7" applyNumberFormat="1" applyFont="1" applyFill="1"/>
    <xf numFmtId="42" fontId="51" fillId="5" borderId="0" xfId="7" applyNumberFormat="1" applyFont="1" applyFill="1"/>
    <xf numFmtId="0" fontId="33" fillId="0" borderId="0" xfId="7" applyFont="1" applyAlignment="1">
      <alignment horizontal="center"/>
    </xf>
    <xf numFmtId="0" fontId="33" fillId="0" borderId="0" xfId="7" applyFont="1"/>
    <xf numFmtId="0" fontId="12" fillId="0" borderId="0" xfId="7" applyFont="1" applyAlignment="1">
      <alignment horizontal="center"/>
    </xf>
    <xf numFmtId="183" fontId="20" fillId="0" borderId="0" xfId="7" applyNumberFormat="1" applyFont="1" applyAlignment="1">
      <alignment horizontal="center"/>
    </xf>
    <xf numFmtId="0" fontId="11" fillId="0" borderId="18" xfId="7" applyFont="1" applyBorder="1" applyAlignment="1">
      <alignment horizontal="center" wrapText="1"/>
    </xf>
    <xf numFmtId="0" fontId="20" fillId="0" borderId="1" xfId="7" quotePrefix="1" applyFont="1" applyBorder="1"/>
    <xf numFmtId="0" fontId="20" fillId="0" borderId="8" xfId="7" applyFont="1" applyBorder="1" applyAlignment="1">
      <alignment horizontal="center"/>
    </xf>
    <xf numFmtId="0" fontId="20" fillId="0" borderId="11" xfId="7" applyFont="1" applyBorder="1"/>
    <xf numFmtId="0" fontId="33" fillId="0" borderId="8" xfId="7" applyFont="1" applyBorder="1" applyAlignment="1">
      <alignment horizontal="center"/>
    </xf>
    <xf numFmtId="0" fontId="12" fillId="0" borderId="11" xfId="7" applyFont="1" applyBorder="1" applyAlignment="1">
      <alignment horizontal="center"/>
    </xf>
    <xf numFmtId="37" fontId="33" fillId="0" borderId="3" xfId="7" applyNumberFormat="1" applyFont="1" applyBorder="1" applyAlignment="1">
      <alignment horizontal="center"/>
    </xf>
    <xf numFmtId="37" fontId="20" fillId="0" borderId="8" xfId="7" applyNumberFormat="1" applyFont="1" applyBorder="1" applyAlignment="1">
      <alignment horizontal="center"/>
    </xf>
    <xf numFmtId="37" fontId="20" fillId="0" borderId="14" xfId="7" applyNumberFormat="1" applyFont="1" applyBorder="1" applyAlignment="1">
      <alignment horizontal="center"/>
    </xf>
    <xf numFmtId="37" fontId="33" fillId="0" borderId="11" xfId="7" applyNumberFormat="1" applyFont="1" applyBorder="1" applyAlignment="1">
      <alignment horizontal="center"/>
    </xf>
    <xf numFmtId="177" fontId="51" fillId="7" borderId="20" xfId="7" applyNumberFormat="1" applyFont="1" applyFill="1" applyBorder="1"/>
    <xf numFmtId="0" fontId="20" fillId="0" borderId="4" xfId="7" applyFont="1" applyBorder="1" applyAlignment="1">
      <alignment horizontal="center"/>
    </xf>
    <xf numFmtId="0" fontId="20" fillId="0" borderId="9" xfId="7" applyFont="1" applyBorder="1" applyAlignment="1">
      <alignment horizontal="center"/>
    </xf>
    <xf numFmtId="0" fontId="20" fillId="0" borderId="10" xfId="7" applyFont="1" applyBorder="1"/>
    <xf numFmtId="0" fontId="20" fillId="0" borderId="0" xfId="7" applyFont="1" applyAlignment="1">
      <alignment horizontal="center" vertical="center" wrapText="1"/>
    </xf>
    <xf numFmtId="0" fontId="20" fillId="0" borderId="0" xfId="7" applyFont="1" applyAlignment="1">
      <alignment horizontal="center" wrapText="1"/>
    </xf>
    <xf numFmtId="2" fontId="20" fillId="0" borderId="0" xfId="7" applyNumberFormat="1" applyFont="1" applyAlignment="1">
      <alignment horizontal="center" wrapText="1"/>
    </xf>
    <xf numFmtId="0" fontId="20" fillId="0" borderId="3" xfId="7" applyFont="1" applyBorder="1" applyAlignment="1">
      <alignment horizontal="center" vertical="center" wrapText="1"/>
    </xf>
    <xf numFmtId="0" fontId="20" fillId="0" borderId="16" xfId="7" applyFont="1" applyBorder="1" applyAlignment="1">
      <alignment horizontal="center" vertical="center" wrapText="1"/>
    </xf>
    <xf numFmtId="0" fontId="20" fillId="0" borderId="5" xfId="7" applyFont="1" applyBorder="1" applyAlignment="1">
      <alignment horizontal="center" vertical="center" wrapText="1"/>
    </xf>
    <xf numFmtId="0" fontId="20" fillId="0" borderId="15" xfId="7" applyFont="1" applyBorder="1" applyAlignment="1">
      <alignment horizontal="center" vertical="center" wrapText="1"/>
    </xf>
    <xf numFmtId="183" fontId="20" fillId="0" borderId="3" xfId="7" applyNumberFormat="1" applyFont="1" applyBorder="1" applyAlignment="1">
      <alignment horizontal="center" vertical="center" wrapText="1"/>
    </xf>
    <xf numFmtId="0" fontId="20" fillId="0" borderId="2" xfId="7" applyFont="1" applyBorder="1" applyAlignment="1">
      <alignment horizontal="center" vertical="center" wrapText="1"/>
    </xf>
    <xf numFmtId="0" fontId="50" fillId="0" borderId="55" xfId="7" applyFont="1" applyBorder="1" applyAlignment="1">
      <alignment horizontal="center" vertical="center" wrapText="1"/>
    </xf>
    <xf numFmtId="0" fontId="33" fillId="0" borderId="2" xfId="7" applyFont="1" applyBorder="1" applyAlignment="1">
      <alignment horizontal="center" vertical="center" wrapText="1"/>
    </xf>
    <xf numFmtId="0" fontId="33" fillId="0" borderId="16" xfId="7" applyFont="1" applyBorder="1" applyAlignment="1">
      <alignment horizontal="center" vertical="center" wrapText="1"/>
    </xf>
    <xf numFmtId="0" fontId="33" fillId="0" borderId="15" xfId="7" applyFont="1" applyBorder="1" applyAlignment="1">
      <alignment horizontal="center" vertical="center" wrapText="1"/>
    </xf>
    <xf numFmtId="0" fontId="33" fillId="25" borderId="0" xfId="7" applyFont="1" applyFill="1"/>
    <xf numFmtId="0" fontId="20" fillId="25" borderId="0" xfId="7" applyFont="1" applyFill="1"/>
    <xf numFmtId="0" fontId="20" fillId="25" borderId="0" xfId="7" quotePrefix="1" applyFont="1" applyFill="1"/>
    <xf numFmtId="2" fontId="20" fillId="25" borderId="0" xfId="7" quotePrefix="1" applyNumberFormat="1" applyFont="1" applyFill="1"/>
    <xf numFmtId="0" fontId="20" fillId="0" borderId="56" xfId="7" applyFont="1" applyBorder="1"/>
    <xf numFmtId="0" fontId="20" fillId="0" borderId="3" xfId="7" applyFont="1" applyBorder="1"/>
    <xf numFmtId="2" fontId="54" fillId="0" borderId="3" xfId="29" applyNumberFormat="1" applyBorder="1"/>
    <xf numFmtId="3" fontId="20" fillId="26" borderId="3" xfId="7" applyNumberFormat="1" applyFont="1" applyFill="1" applyBorder="1"/>
    <xf numFmtId="3" fontId="20" fillId="0" borderId="3" xfId="7" applyNumberFormat="1" applyFont="1" applyBorder="1"/>
    <xf numFmtId="4" fontId="20" fillId="0" borderId="3" xfId="7" applyNumberFormat="1" applyFont="1" applyBorder="1"/>
    <xf numFmtId="183" fontId="20" fillId="0" borderId="3" xfId="7" applyNumberFormat="1" applyFont="1" applyBorder="1" applyAlignment="1">
      <alignment horizontal="center"/>
    </xf>
    <xf numFmtId="44" fontId="20" fillId="0" borderId="3" xfId="7" applyNumberFormat="1" applyFont="1" applyBorder="1"/>
    <xf numFmtId="42" fontId="20" fillId="0" borderId="3" xfId="7" applyNumberFormat="1" applyFont="1" applyBorder="1"/>
    <xf numFmtId="44" fontId="33" fillId="0" borderId="3" xfId="7" applyNumberFormat="1" applyFont="1" applyBorder="1"/>
    <xf numFmtId="42" fontId="20" fillId="0" borderId="0" xfId="7" applyNumberFormat="1" applyFont="1"/>
    <xf numFmtId="43" fontId="20" fillId="0" borderId="3" xfId="7" applyNumberFormat="1" applyFont="1" applyBorder="1"/>
    <xf numFmtId="41" fontId="33" fillId="0" borderId="3" xfId="7" applyNumberFormat="1" applyFont="1" applyBorder="1"/>
    <xf numFmtId="43" fontId="33" fillId="0" borderId="3" xfId="7" applyNumberFormat="1" applyFont="1" applyBorder="1"/>
    <xf numFmtId="41" fontId="20" fillId="0" borderId="3" xfId="7" applyNumberFormat="1" applyFont="1" applyBorder="1"/>
    <xf numFmtId="5" fontId="20" fillId="0" borderId="57" xfId="7" applyNumberFormat="1" applyFont="1" applyBorder="1"/>
    <xf numFmtId="4" fontId="20" fillId="0" borderId="1" xfId="7" applyNumberFormat="1" applyFont="1" applyBorder="1"/>
    <xf numFmtId="5" fontId="33" fillId="18" borderId="57" xfId="7" applyNumberFormat="1" applyFont="1" applyFill="1" applyBorder="1" applyAlignment="1">
      <alignment horizontal="center"/>
    </xf>
    <xf numFmtId="0" fontId="20" fillId="18" borderId="3" xfId="7" applyFont="1" applyFill="1" applyBorder="1"/>
    <xf numFmtId="2" fontId="20" fillId="18" borderId="3" xfId="7" applyNumberFormat="1" applyFont="1" applyFill="1" applyBorder="1"/>
    <xf numFmtId="3" fontId="20" fillId="18" borderId="3" xfId="7" applyNumberFormat="1" applyFont="1" applyFill="1" applyBorder="1"/>
    <xf numFmtId="4" fontId="33" fillId="18" borderId="37" xfId="7" applyNumberFormat="1" applyFont="1" applyFill="1" applyBorder="1"/>
    <xf numFmtId="183" fontId="20" fillId="18" borderId="7" xfId="7" applyNumberFormat="1" applyFont="1" applyFill="1" applyBorder="1" applyAlignment="1">
      <alignment horizontal="center"/>
    </xf>
    <xf numFmtId="44" fontId="33" fillId="18" borderId="3" xfId="7" applyNumberFormat="1" applyFont="1" applyFill="1" applyBorder="1"/>
    <xf numFmtId="0" fontId="50" fillId="18" borderId="3" xfId="7" applyFont="1" applyFill="1" applyBorder="1" applyAlignment="1">
      <alignment horizontal="center"/>
    </xf>
    <xf numFmtId="42" fontId="20" fillId="18" borderId="3" xfId="7" applyNumberFormat="1" applyFont="1" applyFill="1" applyBorder="1"/>
    <xf numFmtId="0" fontId="20" fillId="18" borderId="3" xfId="7" applyFont="1" applyFill="1" applyBorder="1" applyAlignment="1">
      <alignment horizontal="center"/>
    </xf>
    <xf numFmtId="44" fontId="33" fillId="18" borderId="2" xfId="7" applyNumberFormat="1" applyFont="1" applyFill="1" applyBorder="1"/>
    <xf numFmtId="42" fontId="33" fillId="18" borderId="3" xfId="7" applyNumberFormat="1" applyFont="1" applyFill="1" applyBorder="1"/>
    <xf numFmtId="3" fontId="20" fillId="0" borderId="0" xfId="7" applyNumberFormat="1" applyFont="1"/>
    <xf numFmtId="5" fontId="20" fillId="0" borderId="0" xfId="7" applyNumberFormat="1" applyFont="1"/>
    <xf numFmtId="4" fontId="20" fillId="2" borderId="0" xfId="7" applyNumberFormat="1" applyFont="1" applyFill="1"/>
    <xf numFmtId="2" fontId="20" fillId="25" borderId="0" xfId="7" applyNumberFormat="1" applyFont="1" applyFill="1"/>
    <xf numFmtId="3" fontId="20" fillId="25" borderId="0" xfId="7" applyNumberFormat="1" applyFont="1" applyFill="1"/>
    <xf numFmtId="49" fontId="56" fillId="0" borderId="3" xfId="7" applyNumberFormat="1" applyFont="1" applyBorder="1"/>
    <xf numFmtId="49" fontId="3" fillId="0" borderId="3" xfId="7" applyNumberFormat="1" applyBorder="1"/>
    <xf numFmtId="5" fontId="20" fillId="27" borderId="57" xfId="7" applyNumberFormat="1" applyFont="1" applyFill="1" applyBorder="1" applyAlignment="1">
      <alignment horizontal="left"/>
    </xf>
    <xf numFmtId="43" fontId="33" fillId="0" borderId="6" xfId="7" applyNumberFormat="1" applyFont="1" applyBorder="1"/>
    <xf numFmtId="3" fontId="20" fillId="0" borderId="2" xfId="7" applyNumberFormat="1" applyFont="1" applyBorder="1"/>
    <xf numFmtId="3" fontId="20" fillId="26" borderId="0" xfId="7" applyNumberFormat="1" applyFont="1" applyFill="1"/>
    <xf numFmtId="42" fontId="20" fillId="18" borderId="3" xfId="7" applyNumberFormat="1" applyFont="1" applyFill="1" applyBorder="1" applyAlignment="1">
      <alignment horizontal="center"/>
    </xf>
    <xf numFmtId="42" fontId="33" fillId="18" borderId="2" xfId="7" applyNumberFormat="1" applyFont="1" applyFill="1" applyBorder="1"/>
    <xf numFmtId="0" fontId="20" fillId="27" borderId="3" xfId="7" applyFont="1" applyFill="1" applyBorder="1"/>
    <xf numFmtId="0" fontId="20" fillId="0" borderId="6" xfId="7" applyFont="1" applyBorder="1"/>
    <xf numFmtId="3" fontId="20" fillId="26" borderId="7" xfId="7" applyNumberFormat="1" applyFont="1" applyFill="1" applyBorder="1"/>
    <xf numFmtId="0" fontId="50" fillId="0" borderId="6" xfId="7" applyFont="1" applyBorder="1" applyAlignment="1">
      <alignment horizontal="center"/>
    </xf>
    <xf numFmtId="0" fontId="20" fillId="0" borderId="7" xfId="7" applyFont="1" applyBorder="1" applyAlignment="1">
      <alignment horizontal="center"/>
    </xf>
    <xf numFmtId="0" fontId="20" fillId="0" borderId="3" xfId="7" applyFont="1" applyBorder="1" applyAlignment="1">
      <alignment horizontal="left"/>
    </xf>
    <xf numFmtId="0" fontId="20" fillId="0" borderId="17" xfId="7" applyFont="1" applyBorder="1" applyAlignment="1">
      <alignment horizontal="left"/>
    </xf>
    <xf numFmtId="0" fontId="20" fillId="0" borderId="17" xfId="7" applyFont="1" applyBorder="1"/>
    <xf numFmtId="2" fontId="20" fillId="0" borderId="17" xfId="7" applyNumberFormat="1" applyFont="1" applyBorder="1"/>
    <xf numFmtId="3" fontId="20" fillId="0" borderId="17" xfId="7" applyNumberFormat="1" applyFont="1" applyBorder="1"/>
    <xf numFmtId="4" fontId="20" fillId="0" borderId="17" xfId="7" applyNumberFormat="1" applyFont="1" applyBorder="1"/>
    <xf numFmtId="183" fontId="20" fillId="0" borderId="17" xfId="7" applyNumberFormat="1" applyFont="1" applyBorder="1" applyAlignment="1">
      <alignment horizontal="center"/>
    </xf>
    <xf numFmtId="43" fontId="33" fillId="0" borderId="17" xfId="7" applyNumberFormat="1" applyFont="1" applyBorder="1"/>
    <xf numFmtId="0" fontId="50" fillId="0" borderId="17" xfId="7" applyFont="1" applyBorder="1" applyAlignment="1">
      <alignment horizontal="center"/>
    </xf>
    <xf numFmtId="41" fontId="33" fillId="0" borderId="17" xfId="7" applyNumberFormat="1" applyFont="1" applyBorder="1"/>
    <xf numFmtId="0" fontId="20" fillId="0" borderId="17" xfId="7" applyFont="1" applyBorder="1" applyAlignment="1">
      <alignment horizontal="center"/>
    </xf>
    <xf numFmtId="41" fontId="20" fillId="0" borderId="14" xfId="7" applyNumberFormat="1" applyFont="1" applyBorder="1"/>
    <xf numFmtId="0" fontId="20" fillId="27" borderId="6" xfId="7" applyFont="1" applyFill="1" applyBorder="1"/>
    <xf numFmtId="49" fontId="57" fillId="0" borderId="3" xfId="29" applyNumberFormat="1" applyFont="1" applyBorder="1"/>
    <xf numFmtId="0" fontId="33" fillId="0" borderId="3" xfId="7" applyFont="1" applyBorder="1" applyAlignment="1">
      <alignment horizontal="right"/>
    </xf>
    <xf numFmtId="2" fontId="20" fillId="0" borderId="3" xfId="7" applyNumberFormat="1" applyFont="1" applyBorder="1"/>
    <xf numFmtId="3" fontId="33" fillId="0" borderId="3" xfId="7" applyNumberFormat="1" applyFont="1" applyBorder="1"/>
    <xf numFmtId="4" fontId="33" fillId="0" borderId="3" xfId="7" applyNumberFormat="1" applyFont="1" applyBorder="1"/>
    <xf numFmtId="41" fontId="33" fillId="0" borderId="1" xfId="7" applyNumberFormat="1" applyFont="1" applyBorder="1"/>
    <xf numFmtId="2" fontId="11" fillId="0" borderId="3" xfId="7" applyNumberFormat="1" applyFont="1" applyBorder="1"/>
    <xf numFmtId="41" fontId="20" fillId="0" borderId="1" xfId="7" applyNumberFormat="1" applyFont="1" applyBorder="1"/>
    <xf numFmtId="43" fontId="20" fillId="0" borderId="6" xfId="7" applyNumberFormat="1" applyFont="1" applyBorder="1"/>
    <xf numFmtId="0" fontId="20" fillId="0" borderId="7" xfId="7" applyFont="1" applyBorder="1"/>
    <xf numFmtId="3" fontId="20" fillId="2" borderId="3" xfId="7" applyNumberFormat="1" applyFont="1" applyFill="1" applyBorder="1"/>
    <xf numFmtId="43" fontId="33" fillId="2" borderId="3" xfId="7" applyNumberFormat="1" applyFont="1" applyFill="1" applyBorder="1"/>
    <xf numFmtId="0" fontId="20" fillId="0" borderId="3" xfId="7" applyFont="1" applyBorder="1" applyAlignment="1">
      <alignment wrapText="1"/>
    </xf>
    <xf numFmtId="41" fontId="20" fillId="0" borderId="0" xfId="7" applyNumberFormat="1" applyFont="1"/>
    <xf numFmtId="5" fontId="20" fillId="27" borderId="3" xfId="7" applyNumberFormat="1" applyFont="1" applyFill="1" applyBorder="1" applyAlignment="1">
      <alignment horizontal="left"/>
    </xf>
    <xf numFmtId="3" fontId="20" fillId="0" borderId="6" xfId="7" applyNumberFormat="1" applyFont="1" applyBorder="1"/>
    <xf numFmtId="0" fontId="50" fillId="0" borderId="3" xfId="7" applyFont="1" applyBorder="1" applyAlignment="1">
      <alignment horizontal="center"/>
    </xf>
    <xf numFmtId="42" fontId="33" fillId="0" borderId="3" xfId="7" applyNumberFormat="1" applyFont="1" applyBorder="1"/>
    <xf numFmtId="5" fontId="20" fillId="0" borderId="3" xfId="7" applyNumberFormat="1" applyFont="1" applyBorder="1" applyAlignment="1">
      <alignment horizontal="left"/>
    </xf>
    <xf numFmtId="5" fontId="33" fillId="0" borderId="3" xfId="7" applyNumberFormat="1" applyFont="1" applyBorder="1" applyAlignment="1">
      <alignment horizontal="right"/>
    </xf>
    <xf numFmtId="183" fontId="33" fillId="0" borderId="3" xfId="7" applyNumberFormat="1" applyFont="1" applyBorder="1" applyAlignment="1">
      <alignment horizontal="center"/>
    </xf>
    <xf numFmtId="5" fontId="20" fillId="0" borderId="0" xfId="7" applyNumberFormat="1" applyFont="1" applyAlignment="1">
      <alignment horizontal="right"/>
    </xf>
    <xf numFmtId="5" fontId="33" fillId="27" borderId="3" xfId="7" applyNumberFormat="1" applyFont="1" applyFill="1" applyBorder="1" applyAlignment="1">
      <alignment horizontal="right"/>
    </xf>
    <xf numFmtId="5" fontId="33" fillId="28" borderId="58" xfId="7" applyNumberFormat="1" applyFont="1" applyFill="1" applyBorder="1" applyAlignment="1">
      <alignment horizontal="center"/>
    </xf>
    <xf numFmtId="3" fontId="33" fillId="18" borderId="2" xfId="7" applyNumberFormat="1" applyFont="1" applyFill="1" applyBorder="1"/>
    <xf numFmtId="3" fontId="33" fillId="18" borderId="16" xfId="7" applyNumberFormat="1" applyFont="1" applyFill="1" applyBorder="1"/>
    <xf numFmtId="183" fontId="20" fillId="18" borderId="15" xfId="7" applyNumberFormat="1" applyFont="1" applyFill="1" applyBorder="1" applyAlignment="1">
      <alignment horizontal="center"/>
    </xf>
    <xf numFmtId="0" fontId="20" fillId="18" borderId="2" xfId="7" applyFont="1" applyFill="1" applyBorder="1" applyAlignment="1">
      <alignment horizontal="center"/>
    </xf>
    <xf numFmtId="166" fontId="33" fillId="18" borderId="2" xfId="7" applyNumberFormat="1" applyFont="1" applyFill="1" applyBorder="1"/>
    <xf numFmtId="0" fontId="20" fillId="2" borderId="0" xfId="7" applyFont="1" applyFill="1"/>
    <xf numFmtId="0" fontId="20" fillId="0" borderId="0" xfId="7" applyFont="1" applyAlignment="1">
      <alignment horizontal="right"/>
    </xf>
    <xf numFmtId="0" fontId="58" fillId="0" borderId="3" xfId="27" applyFont="1" applyBorder="1"/>
    <xf numFmtId="49" fontId="54" fillId="0" borderId="3" xfId="29" applyNumberFormat="1" applyBorder="1"/>
    <xf numFmtId="49" fontId="56" fillId="0" borderId="0" xfId="7" applyNumberFormat="1" applyFont="1"/>
    <xf numFmtId="49" fontId="59" fillId="0" borderId="0" xfId="7" applyNumberFormat="1" applyFont="1"/>
    <xf numFmtId="4" fontId="20" fillId="0" borderId="2" xfId="7" applyNumberFormat="1" applyFont="1" applyBorder="1"/>
    <xf numFmtId="183" fontId="20" fillId="0" borderId="2" xfId="7" applyNumberFormat="1" applyFont="1" applyBorder="1" applyAlignment="1">
      <alignment horizontal="center"/>
    </xf>
    <xf numFmtId="44" fontId="33" fillId="0" borderId="2" xfId="7" applyNumberFormat="1" applyFont="1" applyBorder="1"/>
    <xf numFmtId="0" fontId="50" fillId="0" borderId="2" xfId="7" applyFont="1" applyBorder="1" applyAlignment="1">
      <alignment horizontal="center"/>
    </xf>
    <xf numFmtId="42" fontId="33" fillId="0" borderId="2" xfId="7" applyNumberFormat="1" applyFont="1" applyBorder="1"/>
    <xf numFmtId="0" fontId="20" fillId="0" borderId="2" xfId="7" applyFont="1" applyBorder="1" applyAlignment="1">
      <alignment horizontal="center"/>
    </xf>
    <xf numFmtId="0" fontId="20" fillId="0" borderId="0" xfId="7" quotePrefix="1" applyFont="1" applyAlignment="1">
      <alignment horizontal="left"/>
    </xf>
    <xf numFmtId="0" fontId="33" fillId="0" borderId="3" xfId="7" applyFont="1" applyBorder="1"/>
    <xf numFmtId="3" fontId="20" fillId="2" borderId="0" xfId="7" applyNumberFormat="1" applyFont="1" applyFill="1"/>
    <xf numFmtId="49" fontId="57" fillId="0" borderId="0" xfId="29" applyNumberFormat="1" applyFont="1"/>
    <xf numFmtId="44" fontId="20" fillId="0" borderId="6" xfId="7" applyNumberFormat="1" applyFont="1" applyBorder="1"/>
    <xf numFmtId="0" fontId="20" fillId="0" borderId="0" xfId="7" applyFont="1" applyAlignment="1">
      <alignment horizontal="left"/>
    </xf>
    <xf numFmtId="2" fontId="20" fillId="0" borderId="2" xfId="7" applyNumberFormat="1" applyFont="1" applyBorder="1"/>
    <xf numFmtId="3" fontId="20" fillId="26" borderId="2" xfId="7" applyNumberFormat="1" applyFont="1" applyFill="1" applyBorder="1"/>
    <xf numFmtId="4" fontId="20" fillId="0" borderId="4" xfId="7" applyNumberFormat="1" applyFont="1" applyBorder="1"/>
    <xf numFmtId="3" fontId="33" fillId="0" borderId="1" xfId="7" applyNumberFormat="1" applyFont="1" applyBorder="1"/>
    <xf numFmtId="5" fontId="33" fillId="25" borderId="57" xfId="7" applyNumberFormat="1" applyFont="1" applyFill="1" applyBorder="1" applyAlignment="1">
      <alignment horizontal="center"/>
    </xf>
    <xf numFmtId="0" fontId="33" fillId="18" borderId="3" xfId="7" applyFont="1" applyFill="1" applyBorder="1"/>
    <xf numFmtId="2" fontId="33" fillId="18" borderId="3" xfId="7" applyNumberFormat="1" applyFont="1" applyFill="1" applyBorder="1"/>
    <xf numFmtId="3" fontId="33" fillId="18" borderId="3" xfId="7" applyNumberFormat="1" applyFont="1" applyFill="1" applyBorder="1"/>
    <xf numFmtId="3" fontId="33" fillId="18" borderId="6" xfId="7" applyNumberFormat="1" applyFont="1" applyFill="1" applyBorder="1"/>
    <xf numFmtId="3" fontId="33" fillId="18" borderId="7" xfId="7" applyNumberFormat="1" applyFont="1" applyFill="1" applyBorder="1"/>
    <xf numFmtId="5" fontId="33" fillId="0" borderId="0" xfId="7" applyNumberFormat="1" applyFont="1" applyAlignment="1">
      <alignment horizontal="center"/>
    </xf>
    <xf numFmtId="183" fontId="20" fillId="2" borderId="0" xfId="7" applyNumberFormat="1" applyFont="1" applyFill="1" applyAlignment="1">
      <alignment horizontal="center"/>
    </xf>
    <xf numFmtId="42" fontId="20" fillId="2" borderId="0" xfId="7" applyNumberFormat="1" applyFont="1" applyFill="1"/>
    <xf numFmtId="0" fontId="50" fillId="2" borderId="0" xfId="7" applyFont="1" applyFill="1" applyAlignment="1">
      <alignment horizontal="center"/>
    </xf>
    <xf numFmtId="5" fontId="20" fillId="2" borderId="0" xfId="7" applyNumberFormat="1" applyFont="1" applyFill="1"/>
    <xf numFmtId="0" fontId="20" fillId="2" borderId="0" xfId="7" applyFont="1" applyFill="1" applyAlignment="1">
      <alignment horizontal="center"/>
    </xf>
    <xf numFmtId="44" fontId="20" fillId="2" borderId="0" xfId="7" applyNumberFormat="1" applyFont="1" applyFill="1"/>
    <xf numFmtId="0" fontId="33" fillId="25" borderId="0" xfId="7" applyFont="1" applyFill="1" applyAlignment="1">
      <alignment horizontal="left"/>
    </xf>
    <xf numFmtId="0" fontId="20" fillId="27" borderId="57" xfId="7" applyFont="1" applyFill="1" applyBorder="1" applyAlignment="1">
      <alignment horizontal="left"/>
    </xf>
    <xf numFmtId="39" fontId="20" fillId="2" borderId="37" xfId="7" applyNumberFormat="1" applyFont="1" applyFill="1" applyBorder="1"/>
    <xf numFmtId="183" fontId="20" fillId="0" borderId="7" xfId="7" applyNumberFormat="1" applyFont="1" applyBorder="1" applyAlignment="1">
      <alignment horizontal="center"/>
    </xf>
    <xf numFmtId="44" fontId="20" fillId="2" borderId="3" xfId="7" applyNumberFormat="1" applyFont="1" applyFill="1" applyBorder="1"/>
    <xf numFmtId="42" fontId="20" fillId="2" borderId="3" xfId="7" applyNumberFormat="1" applyFont="1" applyFill="1" applyBorder="1"/>
    <xf numFmtId="0" fontId="20" fillId="2" borderId="3" xfId="7" applyFont="1" applyFill="1" applyBorder="1" applyAlignment="1">
      <alignment horizontal="center"/>
    </xf>
    <xf numFmtId="39" fontId="33" fillId="18" borderId="37" xfId="7" applyNumberFormat="1" applyFont="1" applyFill="1" applyBorder="1"/>
    <xf numFmtId="183" fontId="33" fillId="18" borderId="7" xfId="7" applyNumberFormat="1" applyFont="1" applyFill="1" applyBorder="1" applyAlignment="1">
      <alignment horizontal="center"/>
    </xf>
    <xf numFmtId="0" fontId="51" fillId="18" borderId="3" xfId="7" applyFont="1" applyFill="1" applyBorder="1" applyAlignment="1">
      <alignment horizontal="center"/>
    </xf>
    <xf numFmtId="0" fontId="33" fillId="18" borderId="3" xfId="7" applyFont="1" applyFill="1" applyBorder="1" applyAlignment="1">
      <alignment horizontal="center"/>
    </xf>
    <xf numFmtId="5" fontId="33" fillId="25" borderId="0" xfId="7" applyNumberFormat="1" applyFont="1" applyFill="1" applyAlignment="1">
      <alignment horizontal="left"/>
    </xf>
    <xf numFmtId="39" fontId="20" fillId="2" borderId="3" xfId="7" applyNumberFormat="1" applyFont="1" applyFill="1" applyBorder="1"/>
    <xf numFmtId="5" fontId="33" fillId="25" borderId="57" xfId="7" applyNumberFormat="1" applyFont="1" applyFill="1" applyBorder="1" applyAlignment="1">
      <alignment horizontal="left"/>
    </xf>
    <xf numFmtId="5" fontId="33" fillId="0" borderId="0" xfId="7" applyNumberFormat="1" applyFont="1" applyAlignment="1">
      <alignment horizontal="left"/>
    </xf>
    <xf numFmtId="2" fontId="33" fillId="0" borderId="0" xfId="7" applyNumberFormat="1" applyFont="1"/>
    <xf numFmtId="3" fontId="33" fillId="0" borderId="0" xfId="7" applyNumberFormat="1" applyFont="1"/>
    <xf numFmtId="39" fontId="33" fillId="0" borderId="0" xfId="7" applyNumberFormat="1" applyFont="1"/>
    <xf numFmtId="183" fontId="33" fillId="0" borderId="0" xfId="7" applyNumberFormat="1" applyFont="1" applyAlignment="1">
      <alignment horizontal="center"/>
    </xf>
    <xf numFmtId="44" fontId="33" fillId="0" borderId="0" xfId="7" applyNumberFormat="1" applyFont="1"/>
    <xf numFmtId="42" fontId="33" fillId="0" borderId="0" xfId="7" applyNumberFormat="1" applyFont="1"/>
    <xf numFmtId="5" fontId="60" fillId="0" borderId="0" xfId="7" applyNumberFormat="1" applyFont="1" applyAlignment="1">
      <alignment horizontal="left"/>
    </xf>
    <xf numFmtId="44" fontId="20" fillId="0" borderId="0" xfId="7" applyNumberFormat="1" applyFont="1"/>
    <xf numFmtId="0" fontId="20" fillId="27" borderId="3" xfId="7" applyFont="1" applyFill="1" applyBorder="1" applyAlignment="1">
      <alignment horizontal="left"/>
    </xf>
    <xf numFmtId="0" fontId="33" fillId="27" borderId="3" xfId="7" applyFont="1" applyFill="1" applyBorder="1" applyAlignment="1">
      <alignment horizontal="right"/>
    </xf>
    <xf numFmtId="0" fontId="20" fillId="27" borderId="0" xfId="7" applyFont="1" applyFill="1" applyAlignment="1">
      <alignment horizontal="left"/>
    </xf>
    <xf numFmtId="2" fontId="20" fillId="2" borderId="0" xfId="7" applyNumberFormat="1" applyFont="1" applyFill="1"/>
    <xf numFmtId="49" fontId="59" fillId="0" borderId="3" xfId="7" applyNumberFormat="1" applyFont="1" applyBorder="1"/>
    <xf numFmtId="183" fontId="20" fillId="5" borderId="3" xfId="7" applyNumberFormat="1" applyFont="1" applyFill="1" applyBorder="1" applyAlignment="1">
      <alignment horizontal="center"/>
    </xf>
    <xf numFmtId="49" fontId="3" fillId="0" borderId="0" xfId="7" applyNumberFormat="1"/>
    <xf numFmtId="49" fontId="61" fillId="0" borderId="17" xfId="7" applyNumberFormat="1" applyFont="1" applyBorder="1"/>
    <xf numFmtId="44" fontId="20" fillId="0" borderId="17" xfId="7" applyNumberFormat="1" applyFont="1" applyBorder="1"/>
    <xf numFmtId="41" fontId="20" fillId="0" borderId="17" xfId="7" applyNumberFormat="1" applyFont="1" applyBorder="1"/>
    <xf numFmtId="42" fontId="20" fillId="0" borderId="17" xfId="7" applyNumberFormat="1" applyFont="1" applyBorder="1"/>
    <xf numFmtId="166" fontId="33" fillId="0" borderId="3" xfId="7" applyNumberFormat="1" applyFont="1" applyBorder="1"/>
    <xf numFmtId="3" fontId="20" fillId="5" borderId="0" xfId="7" applyNumberFormat="1" applyFont="1" applyFill="1"/>
    <xf numFmtId="42" fontId="20" fillId="5" borderId="0" xfId="7" applyNumberFormat="1" applyFont="1" applyFill="1"/>
    <xf numFmtId="5" fontId="20" fillId="27" borderId="1" xfId="7" applyNumberFormat="1" applyFont="1" applyFill="1" applyBorder="1" applyAlignment="1">
      <alignment horizontal="left"/>
    </xf>
    <xf numFmtId="0" fontId="20" fillId="0" borderId="1" xfId="7" applyFont="1" applyBorder="1"/>
    <xf numFmtId="2" fontId="20" fillId="0" borderId="1" xfId="7" applyNumberFormat="1" applyFont="1" applyBorder="1"/>
    <xf numFmtId="49" fontId="57" fillId="0" borderId="1" xfId="29" applyNumberFormat="1" applyFont="1" applyBorder="1"/>
    <xf numFmtId="3" fontId="20" fillId="26" borderId="1" xfId="7" applyNumberFormat="1" applyFont="1" applyFill="1" applyBorder="1"/>
    <xf numFmtId="3" fontId="20" fillId="0" borderId="1" xfId="7" applyNumberFormat="1" applyFont="1" applyBorder="1"/>
    <xf numFmtId="183" fontId="20" fillId="0" borderId="1" xfId="7" applyNumberFormat="1" applyFont="1" applyBorder="1" applyAlignment="1">
      <alignment horizontal="center"/>
    </xf>
    <xf numFmtId="44" fontId="33" fillId="0" borderId="1" xfId="7" applyNumberFormat="1" applyFont="1" applyBorder="1"/>
    <xf numFmtId="0" fontId="20" fillId="0" borderId="1" xfId="7" applyFont="1" applyBorder="1" applyAlignment="1">
      <alignment horizontal="center"/>
    </xf>
    <xf numFmtId="43" fontId="20" fillId="0" borderId="1" xfId="7" applyNumberFormat="1" applyFont="1" applyBorder="1"/>
    <xf numFmtId="43" fontId="20" fillId="0" borderId="3" xfId="7" applyNumberFormat="1" applyFont="1" applyBorder="1" applyAlignment="1">
      <alignment horizontal="center"/>
    </xf>
    <xf numFmtId="5" fontId="20" fillId="27" borderId="3" xfId="7" applyNumberFormat="1" applyFont="1" applyFill="1" applyBorder="1"/>
    <xf numFmtId="5" fontId="20" fillId="27" borderId="1" xfId="7" applyNumberFormat="1" applyFont="1" applyFill="1" applyBorder="1"/>
    <xf numFmtId="42" fontId="20" fillId="0" borderId="1" xfId="7" applyNumberFormat="1" applyFont="1" applyBorder="1"/>
    <xf numFmtId="3" fontId="33" fillId="29" borderId="3" xfId="7" applyNumberFormat="1" applyFont="1" applyFill="1" applyBorder="1"/>
    <xf numFmtId="4" fontId="33" fillId="0" borderId="1" xfId="7" applyNumberFormat="1" applyFont="1" applyBorder="1"/>
    <xf numFmtId="5" fontId="33" fillId="18" borderId="58" xfId="7" applyNumberFormat="1" applyFont="1" applyFill="1" applyBorder="1" applyAlignment="1">
      <alignment horizontal="center"/>
    </xf>
    <xf numFmtId="0" fontId="33" fillId="18" borderId="2" xfId="7" applyFont="1" applyFill="1" applyBorder="1"/>
    <xf numFmtId="2" fontId="20" fillId="18" borderId="2" xfId="7" applyNumberFormat="1" applyFont="1" applyFill="1" applyBorder="1"/>
    <xf numFmtId="3" fontId="33" fillId="18" borderId="15" xfId="7" applyNumberFormat="1" applyFont="1" applyFill="1" applyBorder="1"/>
    <xf numFmtId="41" fontId="20" fillId="18" borderId="3" xfId="7" applyNumberFormat="1" applyFont="1" applyFill="1" applyBorder="1"/>
    <xf numFmtId="5" fontId="20" fillId="0" borderId="3" xfId="7" applyNumberFormat="1" applyFont="1" applyBorder="1"/>
    <xf numFmtId="2" fontId="33" fillId="18" borderId="2" xfId="7" applyNumberFormat="1" applyFont="1" applyFill="1" applyBorder="1"/>
    <xf numFmtId="3" fontId="20" fillId="29" borderId="3" xfId="7" applyNumberFormat="1" applyFont="1" applyFill="1" applyBorder="1"/>
    <xf numFmtId="0" fontId="20" fillId="27" borderId="0" xfId="7" applyFont="1" applyFill="1"/>
    <xf numFmtId="9" fontId="20" fillId="0" borderId="3" xfId="2" applyFont="1" applyBorder="1"/>
    <xf numFmtId="5" fontId="20" fillId="27" borderId="0" xfId="7" quotePrefix="1" applyNumberFormat="1" applyFont="1" applyFill="1" applyAlignment="1">
      <alignment horizontal="left"/>
    </xf>
    <xf numFmtId="0" fontId="33" fillId="27" borderId="0" xfId="7" applyFont="1" applyFill="1" applyAlignment="1">
      <alignment horizontal="right"/>
    </xf>
    <xf numFmtId="41" fontId="20" fillId="5" borderId="0" xfId="7" applyNumberFormat="1" applyFont="1" applyFill="1"/>
    <xf numFmtId="5" fontId="33" fillId="0" borderId="0" xfId="7" applyNumberFormat="1" applyFont="1" applyAlignment="1">
      <alignment horizontal="right"/>
    </xf>
    <xf numFmtId="4" fontId="33" fillId="0" borderId="0" xfId="7" applyNumberFormat="1" applyFont="1"/>
    <xf numFmtId="2" fontId="20" fillId="0" borderId="7" xfId="7" applyNumberFormat="1" applyFont="1" applyBorder="1"/>
    <xf numFmtId="5" fontId="33" fillId="28" borderId="3" xfId="7" applyNumberFormat="1" applyFont="1" applyFill="1" applyBorder="1" applyAlignment="1">
      <alignment horizontal="center"/>
    </xf>
    <xf numFmtId="0" fontId="33" fillId="18" borderId="6" xfId="7" applyFont="1" applyFill="1" applyBorder="1"/>
    <xf numFmtId="2" fontId="33" fillId="18" borderId="6" xfId="7" applyNumberFormat="1" applyFont="1" applyFill="1" applyBorder="1"/>
    <xf numFmtId="2" fontId="62" fillId="0" borderId="3" xfId="7" applyNumberFormat="1" applyFont="1" applyBorder="1"/>
    <xf numFmtId="4" fontId="33" fillId="18" borderId="7" xfId="7" applyNumberFormat="1" applyFont="1" applyFill="1" applyBorder="1"/>
    <xf numFmtId="43" fontId="20" fillId="0" borderId="0" xfId="7" applyNumberFormat="1" applyFont="1"/>
    <xf numFmtId="0" fontId="20" fillId="27" borderId="5" xfId="7" applyFont="1" applyFill="1" applyBorder="1" applyAlignment="1">
      <alignment horizontal="left"/>
    </xf>
    <xf numFmtId="0" fontId="20" fillId="0" borderId="5" xfId="7" applyFont="1" applyBorder="1"/>
    <xf numFmtId="2" fontId="20" fillId="0" borderId="5" xfId="7" applyNumberFormat="1" applyFont="1" applyBorder="1"/>
    <xf numFmtId="3" fontId="20" fillId="26" borderId="5" xfId="7" applyNumberFormat="1" applyFont="1" applyFill="1" applyBorder="1"/>
    <xf numFmtId="3" fontId="20" fillId="0" borderId="5" xfId="7" applyNumberFormat="1" applyFont="1" applyBorder="1"/>
    <xf numFmtId="4" fontId="20" fillId="0" borderId="5" xfId="7" applyNumberFormat="1" applyFont="1" applyBorder="1"/>
    <xf numFmtId="183" fontId="20" fillId="0" borderId="5" xfId="7" applyNumberFormat="1" applyFont="1" applyBorder="1" applyAlignment="1">
      <alignment horizontal="center"/>
    </xf>
    <xf numFmtId="41" fontId="20" fillId="0" borderId="5" xfId="7" applyNumberFormat="1" applyFont="1" applyBorder="1"/>
    <xf numFmtId="0" fontId="20" fillId="0" borderId="5" xfId="7" applyFont="1" applyBorder="1" applyAlignment="1">
      <alignment horizontal="center"/>
    </xf>
    <xf numFmtId="44" fontId="33" fillId="0" borderId="6" xfId="7" applyNumberFormat="1" applyFont="1" applyBorder="1"/>
    <xf numFmtId="5" fontId="20" fillId="27" borderId="0" xfId="7" applyNumberFormat="1" applyFont="1" applyFill="1" applyAlignment="1">
      <alignment horizontal="left"/>
    </xf>
    <xf numFmtId="5" fontId="20" fillId="0" borderId="6" xfId="7" applyNumberFormat="1" applyFont="1" applyBorder="1"/>
    <xf numFmtId="5" fontId="33" fillId="28" borderId="6" xfId="7" applyNumberFormat="1" applyFont="1" applyFill="1" applyBorder="1" applyAlignment="1">
      <alignment horizontal="center"/>
    </xf>
    <xf numFmtId="2" fontId="20" fillId="18" borderId="6" xfId="7" applyNumberFormat="1" applyFont="1" applyFill="1" applyBorder="1"/>
    <xf numFmtId="183" fontId="20" fillId="18" borderId="3" xfId="7" applyNumberFormat="1" applyFont="1" applyFill="1" applyBorder="1" applyAlignment="1">
      <alignment horizontal="center"/>
    </xf>
    <xf numFmtId="0" fontId="33" fillId="0" borderId="0" xfId="7" applyFont="1" applyAlignment="1">
      <alignment horizontal="right"/>
    </xf>
    <xf numFmtId="0" fontId="20" fillId="0" borderId="5" xfId="7" applyFont="1" applyBorder="1" applyAlignment="1">
      <alignment horizontal="left"/>
    </xf>
    <xf numFmtId="183" fontId="33" fillId="18" borderId="3" xfId="7" applyNumberFormat="1" applyFont="1" applyFill="1" applyBorder="1" applyAlignment="1">
      <alignment horizontal="center"/>
    </xf>
    <xf numFmtId="41" fontId="33" fillId="18" borderId="3" xfId="7" applyNumberFormat="1" applyFont="1" applyFill="1" applyBorder="1"/>
    <xf numFmtId="0" fontId="51" fillId="18" borderId="0" xfId="7" applyFont="1" applyFill="1" applyAlignment="1">
      <alignment horizontal="center"/>
    </xf>
    <xf numFmtId="5" fontId="33" fillId="28" borderId="3" xfId="7" applyNumberFormat="1" applyFont="1" applyFill="1" applyBorder="1" applyAlignment="1">
      <alignment horizontal="left"/>
    </xf>
    <xf numFmtId="0" fontId="33" fillId="18" borderId="17" xfId="7" applyFont="1" applyFill="1" applyBorder="1"/>
    <xf numFmtId="2" fontId="33" fillId="18" borderId="17" xfId="7" applyNumberFormat="1" applyFont="1" applyFill="1" applyBorder="1"/>
    <xf numFmtId="4" fontId="33" fillId="18" borderId="17" xfId="7" applyNumberFormat="1" applyFont="1" applyFill="1" applyBorder="1"/>
    <xf numFmtId="183" fontId="33" fillId="18" borderId="17" xfId="7" applyNumberFormat="1" applyFont="1" applyFill="1" applyBorder="1" applyAlignment="1">
      <alignment horizontal="center"/>
    </xf>
    <xf numFmtId="0" fontId="51" fillId="18" borderId="17" xfId="7" applyFont="1" applyFill="1" applyBorder="1"/>
    <xf numFmtId="0" fontId="33" fillId="18" borderId="17" xfId="7" applyFont="1" applyFill="1" applyBorder="1" applyAlignment="1">
      <alignment horizontal="center"/>
    </xf>
    <xf numFmtId="44" fontId="33" fillId="18" borderId="17" xfId="7" applyNumberFormat="1" applyFont="1" applyFill="1" applyBorder="1"/>
    <xf numFmtId="42" fontId="33" fillId="18" borderId="17" xfId="7" applyNumberFormat="1" applyFont="1" applyFill="1" applyBorder="1"/>
    <xf numFmtId="42" fontId="33" fillId="18" borderId="7" xfId="7" applyNumberFormat="1" applyFont="1" applyFill="1" applyBorder="1"/>
    <xf numFmtId="37" fontId="10" fillId="0" borderId="0" xfId="4" applyFont="1" applyAlignment="1">
      <alignment wrapText="1"/>
    </xf>
    <xf numFmtId="0" fontId="10" fillId="0" borderId="0" xfId="7" applyFont="1" applyAlignment="1">
      <alignment horizontal="left" wrapText="1"/>
    </xf>
    <xf numFmtId="4" fontId="33" fillId="0" borderId="37" xfId="7" applyNumberFormat="1" applyFont="1" applyBorder="1"/>
    <xf numFmtId="0" fontId="50" fillId="2" borderId="0" xfId="7" applyFont="1" applyFill="1"/>
    <xf numFmtId="0" fontId="20" fillId="26" borderId="0" xfId="7" applyFont="1" applyFill="1"/>
    <xf numFmtId="41" fontId="20" fillId="30" borderId="0" xfId="7" applyNumberFormat="1" applyFont="1" applyFill="1"/>
    <xf numFmtId="0" fontId="10" fillId="0" borderId="0" xfId="7" applyFont="1"/>
    <xf numFmtId="0" fontId="46" fillId="0" borderId="0" xfId="7" applyFont="1"/>
    <xf numFmtId="0" fontId="43" fillId="0" borderId="9" xfId="7" applyFont="1" applyBorder="1"/>
    <xf numFmtId="177" fontId="20" fillId="0" borderId="0" xfId="7" applyNumberFormat="1" applyFont="1"/>
    <xf numFmtId="43" fontId="20" fillId="0" borderId="5" xfId="7" applyNumberFormat="1" applyFont="1" applyBorder="1"/>
    <xf numFmtId="0" fontId="33" fillId="0" borderId="17" xfId="7" applyFont="1" applyBorder="1"/>
    <xf numFmtId="2" fontId="33" fillId="0" borderId="17" xfId="7" applyNumberFormat="1" applyFont="1" applyBorder="1"/>
    <xf numFmtId="4" fontId="33" fillId="0" borderId="17" xfId="7" applyNumberFormat="1" applyFont="1" applyBorder="1"/>
    <xf numFmtId="0" fontId="63" fillId="0" borderId="0" xfId="7" applyFont="1"/>
    <xf numFmtId="4" fontId="20" fillId="31" borderId="0" xfId="7" applyNumberFormat="1" applyFont="1" applyFill="1"/>
    <xf numFmtId="0" fontId="43" fillId="0" borderId="0" xfId="7" applyFont="1"/>
    <xf numFmtId="0" fontId="43" fillId="0" borderId="16" xfId="7" applyFont="1" applyBorder="1"/>
    <xf numFmtId="177" fontId="20" fillId="0" borderId="5" xfId="7" applyNumberFormat="1" applyFont="1" applyBorder="1"/>
    <xf numFmtId="3" fontId="33" fillId="0" borderId="17" xfId="7" applyNumberFormat="1" applyFont="1" applyBorder="1"/>
    <xf numFmtId="177" fontId="20" fillId="0" borderId="17" xfId="7" applyNumberFormat="1" applyFont="1" applyBorder="1"/>
    <xf numFmtId="39" fontId="20" fillId="0" borderId="0" xfId="7" applyNumberFormat="1" applyFont="1"/>
    <xf numFmtId="0" fontId="33" fillId="0" borderId="1" xfId="7" applyFont="1" applyBorder="1" applyAlignment="1">
      <alignment horizontal="center"/>
    </xf>
    <xf numFmtId="0" fontId="33" fillId="0" borderId="3" xfId="7" applyFont="1" applyBorder="1" applyAlignment="1">
      <alignment horizontal="center"/>
    </xf>
    <xf numFmtId="0" fontId="33" fillId="0" borderId="4" xfId="7" applyFont="1" applyBorder="1" applyAlignment="1">
      <alignment horizontal="center"/>
    </xf>
    <xf numFmtId="0" fontId="33" fillId="0" borderId="11" xfId="7" applyFont="1" applyBorder="1" applyAlignment="1">
      <alignment horizontal="center"/>
    </xf>
    <xf numFmtId="0" fontId="20" fillId="0" borderId="0" xfId="7" applyFont="1" applyAlignment="1">
      <alignment horizontal="right" vertical="center"/>
    </xf>
    <xf numFmtId="42" fontId="10" fillId="0" borderId="0" xfId="7" applyNumberFormat="1" applyFont="1"/>
    <xf numFmtId="42" fontId="20" fillId="0" borderId="4" xfId="7" applyNumberFormat="1" applyFont="1" applyBorder="1"/>
    <xf numFmtId="42" fontId="20" fillId="0" borderId="10" xfId="7" applyNumberFormat="1" applyFont="1" applyBorder="1"/>
    <xf numFmtId="41" fontId="10" fillId="0" borderId="0" xfId="7" applyNumberFormat="1" applyFont="1"/>
    <xf numFmtId="41" fontId="20" fillId="0" borderId="4" xfId="7" applyNumberFormat="1" applyFont="1" applyBorder="1"/>
    <xf numFmtId="41" fontId="20" fillId="0" borderId="10" xfId="7" applyNumberFormat="1" applyFont="1" applyBorder="1"/>
    <xf numFmtId="3" fontId="20" fillId="0" borderId="0" xfId="7" applyNumberFormat="1" applyFont="1" applyAlignment="1">
      <alignment horizontal="right" vertical="center"/>
    </xf>
    <xf numFmtId="42" fontId="20" fillId="0" borderId="7" xfId="7" applyNumberFormat="1" applyFont="1" applyBorder="1"/>
    <xf numFmtId="42" fontId="20" fillId="0" borderId="2" xfId="7" applyNumberFormat="1" applyFont="1" applyBorder="1" applyAlignment="1">
      <alignment horizontal="center"/>
    </xf>
    <xf numFmtId="0" fontId="20" fillId="5" borderId="0" xfId="7" applyFont="1" applyFill="1"/>
    <xf numFmtId="2" fontId="20" fillId="5" borderId="0" xfId="7" applyNumberFormat="1" applyFont="1" applyFill="1"/>
    <xf numFmtId="0" fontId="11" fillId="5" borderId="0" xfId="7" applyFont="1" applyFill="1" applyAlignment="1">
      <alignment horizontal="center"/>
    </xf>
    <xf numFmtId="49" fontId="65" fillId="0" borderId="0" xfId="7" applyNumberFormat="1" applyFont="1"/>
    <xf numFmtId="0" fontId="3" fillId="0" borderId="0" xfId="7"/>
    <xf numFmtId="164" fontId="0" fillId="0" borderId="0" xfId="2" applyNumberFormat="1" applyFont="1"/>
    <xf numFmtId="0" fontId="54" fillId="0" borderId="0" xfId="29"/>
    <xf numFmtId="0" fontId="66" fillId="0" borderId="0" xfId="29" applyFont="1"/>
    <xf numFmtId="0" fontId="67" fillId="0" borderId="0" xfId="29" applyFont="1"/>
    <xf numFmtId="0" fontId="67" fillId="0" borderId="16" xfId="29" applyFont="1" applyBorder="1"/>
    <xf numFmtId="0" fontId="67" fillId="0" borderId="5" xfId="29" applyFont="1" applyBorder="1"/>
    <xf numFmtId="0" fontId="67" fillId="0" borderId="15" xfId="29" applyFont="1" applyBorder="1"/>
    <xf numFmtId="0" fontId="65" fillId="0" borderId="0" xfId="29" applyFont="1" applyAlignment="1">
      <alignment horizontal="right"/>
    </xf>
    <xf numFmtId="49" fontId="65" fillId="0" borderId="6" xfId="7" applyNumberFormat="1" applyFont="1" applyBorder="1" applyAlignment="1">
      <alignment horizontal="centerContinuous"/>
    </xf>
    <xf numFmtId="0" fontId="65" fillId="0" borderId="7" xfId="7" applyFont="1" applyBorder="1" applyAlignment="1">
      <alignment horizontal="centerContinuous"/>
    </xf>
    <xf numFmtId="0" fontId="65" fillId="0" borderId="0" xfId="7" applyFont="1" applyAlignment="1">
      <alignment horizontal="right"/>
    </xf>
    <xf numFmtId="0" fontId="65" fillId="0" borderId="0" xfId="7" applyFont="1"/>
    <xf numFmtId="49" fontId="3" fillId="19" borderId="0" xfId="7" applyNumberFormat="1" applyFill="1"/>
    <xf numFmtId="0" fontId="3" fillId="19" borderId="0" xfId="7" applyFill="1"/>
    <xf numFmtId="3" fontId="3" fillId="19" borderId="0" xfId="7" applyNumberFormat="1" applyFill="1"/>
    <xf numFmtId="164" fontId="0" fillId="19" borderId="0" xfId="2" applyNumberFormat="1" applyFont="1" applyFill="1"/>
    <xf numFmtId="49" fontId="3" fillId="18" borderId="0" xfId="7" applyNumberFormat="1" applyFill="1"/>
    <xf numFmtId="0" fontId="3" fillId="18" borderId="0" xfId="7" applyFill="1"/>
    <xf numFmtId="3" fontId="3" fillId="18" borderId="0" xfId="7" applyNumberFormat="1" applyFill="1"/>
    <xf numFmtId="164" fontId="0" fillId="18" borderId="0" xfId="2" applyNumberFormat="1" applyFont="1" applyFill="1"/>
    <xf numFmtId="4" fontId="3" fillId="18" borderId="0" xfId="7" applyNumberFormat="1" applyFill="1"/>
    <xf numFmtId="0" fontId="3" fillId="7" borderId="0" xfId="7" applyFill="1"/>
    <xf numFmtId="0" fontId="3" fillId="7" borderId="3" xfId="7" applyFill="1" applyBorder="1"/>
    <xf numFmtId="49" fontId="3" fillId="7" borderId="0" xfId="7" applyNumberFormat="1" applyFill="1"/>
    <xf numFmtId="0" fontId="3" fillId="7" borderId="1" xfId="7" applyFill="1" applyBorder="1"/>
    <xf numFmtId="0" fontId="3" fillId="18" borderId="4" xfId="7" applyFill="1" applyBorder="1"/>
    <xf numFmtId="0" fontId="3" fillId="7" borderId="2" xfId="7" applyFill="1" applyBorder="1"/>
    <xf numFmtId="164" fontId="0" fillId="0" borderId="0" xfId="2" applyNumberFormat="1" applyFont="1" applyFill="1"/>
    <xf numFmtId="0" fontId="10" fillId="0" borderId="0" xfId="30" applyFont="1"/>
    <xf numFmtId="42" fontId="10" fillId="0" borderId="1" xfId="30" applyNumberFormat="1" applyFont="1" applyBorder="1"/>
    <xf numFmtId="0" fontId="10" fillId="0" borderId="9" xfId="30" applyFont="1" applyBorder="1" applyAlignment="1">
      <alignment horizontal="center" wrapText="1"/>
    </xf>
    <xf numFmtId="0" fontId="10" fillId="0" borderId="59" xfId="30" applyFont="1" applyBorder="1" applyAlignment="1">
      <alignment horizontal="centerContinuous"/>
    </xf>
    <xf numFmtId="0" fontId="10" fillId="0" borderId="60" xfId="30" applyFont="1" applyBorder="1" applyAlignment="1">
      <alignment horizontal="centerContinuous"/>
    </xf>
    <xf numFmtId="0" fontId="10" fillId="0" borderId="1" xfId="30" applyFont="1" applyBorder="1" applyAlignment="1">
      <alignment horizontal="centerContinuous"/>
    </xf>
    <xf numFmtId="0" fontId="10" fillId="0" borderId="1" xfId="30" applyFont="1" applyBorder="1" applyAlignment="1">
      <alignment horizontal="center" wrapText="1"/>
    </xf>
    <xf numFmtId="0" fontId="10" fillId="0" borderId="3" xfId="30" applyFont="1" applyBorder="1" applyAlignment="1">
      <alignment horizontal="center" wrapText="1"/>
    </xf>
    <xf numFmtId="0" fontId="10" fillId="0" borderId="0" xfId="30" applyFont="1" applyAlignment="1">
      <alignment horizontal="center"/>
    </xf>
    <xf numFmtId="0" fontId="68" fillId="0" borderId="54" xfId="7" applyFont="1" applyBorder="1"/>
    <xf numFmtId="0" fontId="68" fillId="0" borderId="61" xfId="7" applyFont="1" applyBorder="1"/>
    <xf numFmtId="182" fontId="68" fillId="22" borderId="8" xfId="7" applyNumberFormat="1" applyFont="1" applyFill="1" applyBorder="1" applyAlignment="1" applyProtection="1">
      <alignment horizontal="right"/>
      <protection locked="0"/>
    </xf>
    <xf numFmtId="5" fontId="69" fillId="0" borderId="1" xfId="30" applyNumberFormat="1" applyFont="1" applyBorder="1"/>
    <xf numFmtId="42" fontId="10" fillId="0" borderId="4" xfId="30" applyNumberFormat="1" applyFont="1" applyBorder="1"/>
    <xf numFmtId="182" fontId="68" fillId="0" borderId="0" xfId="7" applyNumberFormat="1" applyFont="1" applyAlignment="1" applyProtection="1">
      <alignment horizontal="right"/>
      <protection locked="0"/>
    </xf>
    <xf numFmtId="0" fontId="68" fillId="0" borderId="9" xfId="7" applyFont="1" applyBorder="1"/>
    <xf numFmtId="0" fontId="68" fillId="0" borderId="0" xfId="7" applyFont="1"/>
    <xf numFmtId="182" fontId="68" fillId="22" borderId="9" xfId="7" applyNumberFormat="1" applyFont="1" applyFill="1" applyBorder="1" applyAlignment="1" applyProtection="1">
      <alignment horizontal="right"/>
      <protection locked="0"/>
    </xf>
    <xf numFmtId="5" fontId="69" fillId="0" borderId="4" xfId="30" applyNumberFormat="1" applyFont="1" applyBorder="1"/>
    <xf numFmtId="5" fontId="69" fillId="32" borderId="4" xfId="30" applyNumberFormat="1" applyFont="1" applyFill="1" applyBorder="1"/>
    <xf numFmtId="182" fontId="68" fillId="0" borderId="9" xfId="7" applyNumberFormat="1" applyFont="1" applyBorder="1" applyAlignment="1" applyProtection="1">
      <alignment horizontal="right"/>
      <protection locked="0"/>
    </xf>
    <xf numFmtId="5" fontId="69" fillId="0" borderId="10" xfId="30" applyNumberFormat="1" applyFont="1" applyBorder="1"/>
    <xf numFmtId="0" fontId="10" fillId="0" borderId="9" xfId="30" applyFont="1" applyBorder="1"/>
    <xf numFmtId="0" fontId="10" fillId="0" borderId="10" xfId="30" applyFont="1" applyBorder="1"/>
    <xf numFmtId="0" fontId="10" fillId="0" borderId="4" xfId="30" applyFont="1" applyBorder="1"/>
    <xf numFmtId="0" fontId="10" fillId="0" borderId="16" xfId="30" applyFont="1" applyBorder="1"/>
    <xf numFmtId="0" fontId="10" fillId="0" borderId="5" xfId="30" applyFont="1" applyBorder="1"/>
    <xf numFmtId="0" fontId="10" fillId="0" borderId="15" xfId="30" applyFont="1" applyBorder="1"/>
    <xf numFmtId="0" fontId="10" fillId="0" borderId="2" xfId="30" applyFont="1" applyBorder="1"/>
    <xf numFmtId="0" fontId="12" fillId="0" borderId="0" xfId="0" applyFont="1" applyAlignment="1">
      <alignment horizontal="left"/>
    </xf>
    <xf numFmtId="170" fontId="10" fillId="0" borderId="3" xfId="9" applyNumberFormat="1" applyFont="1" applyBorder="1" applyAlignment="1">
      <alignment horizontal="center"/>
    </xf>
    <xf numFmtId="166" fontId="33" fillId="18" borderId="3" xfId="7" applyNumberFormat="1" applyFont="1" applyFill="1" applyBorder="1"/>
    <xf numFmtId="0" fontId="10" fillId="0" borderId="5" xfId="11" applyFont="1" applyBorder="1"/>
    <xf numFmtId="3" fontId="33" fillId="0" borderId="3" xfId="11" applyNumberFormat="1" applyFont="1" applyBorder="1" applyAlignment="1">
      <alignment horizontal="center"/>
    </xf>
    <xf numFmtId="0" fontId="21" fillId="0" borderId="0" xfId="12" applyFont="1" applyAlignment="1">
      <alignment horizontal="left"/>
    </xf>
    <xf numFmtId="0" fontId="22" fillId="0" borderId="0" xfId="12" applyFont="1" applyAlignment="1">
      <alignment horizontal="center" wrapText="1"/>
    </xf>
    <xf numFmtId="0" fontId="9" fillId="3" borderId="3" xfId="9" applyFont="1" applyFill="1" applyBorder="1" applyAlignment="1">
      <alignment horizontal="center" vertical="center"/>
    </xf>
    <xf numFmtId="0" fontId="12" fillId="3" borderId="6" xfId="9" applyFont="1" applyFill="1" applyBorder="1" applyAlignment="1">
      <alignment horizontal="center" vertical="center"/>
    </xf>
    <xf numFmtId="0" fontId="12" fillId="3" borderId="7" xfId="9" applyFont="1" applyFill="1" applyBorder="1" applyAlignment="1">
      <alignment horizontal="center" vertical="center"/>
    </xf>
    <xf numFmtId="0" fontId="12" fillId="3" borderId="3" xfId="9" applyFont="1" applyFill="1" applyBorder="1" applyAlignment="1">
      <alignment horizontal="center" vertical="center"/>
    </xf>
    <xf numFmtId="0" fontId="9" fillId="3" borderId="3" xfId="9" applyFont="1" applyFill="1" applyBorder="1" applyAlignment="1">
      <alignment horizontal="center" vertical="center" wrapText="1"/>
    </xf>
    <xf numFmtId="0" fontId="33" fillId="0" borderId="3" xfId="11" applyFont="1" applyBorder="1" applyAlignment="1">
      <alignment horizontal="center" vertical="center" wrapText="1"/>
    </xf>
    <xf numFmtId="0" fontId="20" fillId="0" borderId="0" xfId="7" applyFont="1" applyAlignment="1">
      <alignment horizontal="center"/>
    </xf>
    <xf numFmtId="0" fontId="20" fillId="0" borderId="6" xfId="7" applyFont="1" applyBorder="1" applyAlignment="1">
      <alignment horizontal="center" wrapText="1"/>
    </xf>
    <xf numFmtId="0" fontId="10" fillId="0" borderId="17" xfId="7" applyFont="1" applyBorder="1" applyAlignment="1">
      <alignment horizontal="center" wrapText="1"/>
    </xf>
    <xf numFmtId="0" fontId="33" fillId="0" borderId="9" xfId="7" applyFont="1" applyBorder="1" applyAlignment="1">
      <alignment horizontal="center"/>
    </xf>
    <xf numFmtId="0" fontId="33" fillId="0" borderId="10" xfId="7" applyFont="1" applyBorder="1" applyAlignment="1">
      <alignment horizontal="center"/>
    </xf>
    <xf numFmtId="0" fontId="33" fillId="0" borderId="5" xfId="7" applyFont="1" applyBorder="1" applyAlignment="1">
      <alignment horizontal="center"/>
    </xf>
    <xf numFmtId="0" fontId="20" fillId="0" borderId="14" xfId="7" applyFont="1" applyBorder="1" applyAlignment="1">
      <alignment horizontal="center"/>
    </xf>
    <xf numFmtId="0" fontId="54" fillId="0" borderId="8" xfId="29" applyBorder="1" applyAlignment="1">
      <alignment horizontal="center"/>
    </xf>
    <xf numFmtId="0" fontId="54" fillId="0" borderId="14" xfId="29" applyBorder="1" applyAlignment="1">
      <alignment horizontal="center"/>
    </xf>
    <xf numFmtId="0" fontId="54" fillId="0" borderId="11" xfId="29" applyBorder="1" applyAlignment="1">
      <alignment horizontal="center"/>
    </xf>
    <xf numFmtId="0" fontId="65" fillId="0" borderId="0" xfId="29" applyFont="1" applyAlignment="1">
      <alignment horizontal="center" wrapText="1"/>
    </xf>
    <xf numFmtId="164" fontId="65" fillId="0" borderId="0" xfId="2" applyNumberFormat="1" applyFont="1" applyAlignment="1">
      <alignment horizontal="center" wrapText="1"/>
    </xf>
    <xf numFmtId="0" fontId="10" fillId="0" borderId="6" xfId="30" applyFont="1" applyBorder="1" applyAlignment="1">
      <alignment horizontal="center" wrapText="1"/>
    </xf>
    <xf numFmtId="0" fontId="10" fillId="0" borderId="7" xfId="30" applyFont="1" applyBorder="1" applyAlignment="1">
      <alignment horizontal="center" wrapText="1"/>
    </xf>
    <xf numFmtId="0" fontId="3" fillId="0" borderId="6" xfId="30" applyFont="1" applyBorder="1" applyAlignment="1">
      <alignment horizontal="center" wrapText="1"/>
    </xf>
    <xf numFmtId="0" fontId="3" fillId="0" borderId="7" xfId="30" applyFont="1" applyBorder="1" applyAlignment="1">
      <alignment horizontal="center" wrapText="1"/>
    </xf>
    <xf numFmtId="0" fontId="12" fillId="0" borderId="14" xfId="7" applyFont="1" applyBorder="1" applyAlignment="1">
      <alignment horizontal="center" vertical="top" wrapText="1"/>
    </xf>
    <xf numFmtId="0" fontId="12" fillId="0" borderId="11" xfId="7" applyFont="1" applyBorder="1" applyAlignment="1">
      <alignment horizontal="center" vertical="top" wrapText="1"/>
    </xf>
    <xf numFmtId="0" fontId="12" fillId="0" borderId="5" xfId="7" applyFont="1" applyBorder="1" applyAlignment="1">
      <alignment horizontal="center" vertical="top" wrapText="1"/>
    </xf>
    <xf numFmtId="0" fontId="12" fillId="0" borderId="15" xfId="7" applyFont="1" applyBorder="1" applyAlignment="1">
      <alignment horizontal="center" vertical="top" wrapText="1"/>
    </xf>
    <xf numFmtId="0" fontId="32" fillId="0" borderId="21" xfId="16" applyFont="1" applyBorder="1" applyAlignment="1">
      <alignment horizontal="center" vertical="center"/>
    </xf>
    <xf numFmtId="0" fontId="32" fillId="0" borderId="22" xfId="16" applyFont="1" applyBorder="1" applyAlignment="1">
      <alignment horizontal="center" vertical="center"/>
    </xf>
    <xf numFmtId="0" fontId="32" fillId="0" borderId="23" xfId="16" applyFont="1" applyBorder="1" applyAlignment="1">
      <alignment horizontal="center" vertical="center"/>
    </xf>
    <xf numFmtId="0" fontId="32" fillId="0" borderId="26" xfId="16" applyFont="1" applyBorder="1" applyAlignment="1">
      <alignment horizontal="center" vertical="center"/>
    </xf>
    <xf numFmtId="0" fontId="32" fillId="0" borderId="27" xfId="16" applyFont="1" applyBorder="1" applyAlignment="1">
      <alignment horizontal="center" vertical="center"/>
    </xf>
    <xf numFmtId="0" fontId="32" fillId="0" borderId="28" xfId="16" applyFont="1" applyBorder="1" applyAlignment="1">
      <alignment horizontal="center" vertical="center"/>
    </xf>
    <xf numFmtId="0" fontId="33" fillId="0" borderId="30" xfId="16" applyFont="1" applyBorder="1" applyAlignment="1">
      <alignment horizontal="center" vertical="center" wrapText="1"/>
    </xf>
    <xf numFmtId="0" fontId="33" fillId="0" borderId="0" xfId="16" applyFont="1" applyAlignment="1">
      <alignment horizontal="center" vertical="center" wrapText="1"/>
    </xf>
    <xf numFmtId="0" fontId="33" fillId="0" borderId="26" xfId="16" applyFont="1" applyBorder="1" applyAlignment="1">
      <alignment horizontal="center" vertical="center" wrapText="1"/>
    </xf>
    <xf numFmtId="0" fontId="33" fillId="0" borderId="27" xfId="16" applyFont="1" applyBorder="1" applyAlignment="1">
      <alignment horizontal="center" vertical="center" wrapText="1"/>
    </xf>
    <xf numFmtId="0" fontId="33" fillId="13" borderId="30" xfId="16" applyFont="1" applyFill="1" applyBorder="1" applyAlignment="1">
      <alignment horizontal="center" vertical="center" wrapText="1"/>
    </xf>
    <xf numFmtId="0" fontId="33" fillId="13" borderId="0" xfId="16" applyFont="1" applyFill="1" applyAlignment="1">
      <alignment horizontal="center" vertical="center" wrapText="1"/>
    </xf>
    <xf numFmtId="0" fontId="33" fillId="13" borderId="26" xfId="16" applyFont="1" applyFill="1" applyBorder="1" applyAlignment="1">
      <alignment horizontal="center" vertical="center" wrapText="1"/>
    </xf>
    <xf numFmtId="0" fontId="33" fillId="13" borderId="27" xfId="16" applyFont="1" applyFill="1" applyBorder="1" applyAlignment="1">
      <alignment horizontal="center" vertical="center" wrapText="1"/>
    </xf>
    <xf numFmtId="0" fontId="12" fillId="0" borderId="21" xfId="16" applyFont="1" applyBorder="1" applyAlignment="1">
      <alignment horizontal="center"/>
    </xf>
    <xf numFmtId="0" fontId="12" fillId="0" borderId="29" xfId="16" applyFont="1" applyBorder="1" applyAlignment="1">
      <alignment horizontal="center"/>
    </xf>
    <xf numFmtId="0" fontId="12" fillId="0" borderId="25" xfId="16" applyFont="1" applyBorder="1" applyAlignment="1">
      <alignment horizontal="center"/>
    </xf>
    <xf numFmtId="0" fontId="12" fillId="0" borderId="24" xfId="16" applyFont="1" applyBorder="1" applyAlignment="1">
      <alignment horizontal="center"/>
    </xf>
    <xf numFmtId="0" fontId="12" fillId="0" borderId="21" xfId="16" applyFont="1" applyBorder="1" applyAlignment="1">
      <alignment horizontal="center" vertical="center" wrapText="1"/>
    </xf>
    <xf numFmtId="0" fontId="12" fillId="0" borderId="33" xfId="16" applyFont="1" applyBorder="1" applyAlignment="1">
      <alignment horizontal="center" vertical="center" wrapText="1"/>
    </xf>
    <xf numFmtId="0" fontId="12" fillId="0" borderId="26" xfId="16" applyFont="1" applyBorder="1" applyAlignment="1">
      <alignment horizontal="center" vertical="center" wrapText="1"/>
    </xf>
    <xf numFmtId="0" fontId="12" fillId="0" borderId="38" xfId="16" applyFont="1" applyBorder="1" applyAlignment="1">
      <alignment horizontal="center" vertical="center" wrapText="1"/>
    </xf>
    <xf numFmtId="166" fontId="12" fillId="13" borderId="3" xfId="18" applyNumberFormat="1" applyFont="1" applyFill="1" applyBorder="1" applyAlignment="1">
      <alignment horizontal="center" vertical="center" wrapText="1"/>
    </xf>
    <xf numFmtId="0" fontId="12" fillId="13" borderId="3" xfId="16" applyFont="1" applyFill="1" applyBorder="1" applyAlignment="1">
      <alignment horizontal="center" vertical="center" wrapText="1"/>
    </xf>
    <xf numFmtId="0" fontId="12" fillId="13" borderId="6" xfId="16" applyFont="1" applyFill="1" applyBorder="1" applyAlignment="1">
      <alignment horizontal="center" vertical="center" wrapText="1"/>
    </xf>
    <xf numFmtId="0" fontId="12" fillId="15" borderId="34" xfId="16" applyFont="1" applyFill="1" applyBorder="1" applyAlignment="1">
      <alignment horizontal="center" vertical="center"/>
    </xf>
    <xf numFmtId="0" fontId="12" fillId="15" borderId="35" xfId="16" applyFont="1" applyFill="1" applyBorder="1" applyAlignment="1">
      <alignment horizontal="center" vertical="center"/>
    </xf>
    <xf numFmtId="0" fontId="12" fillId="12" borderId="0" xfId="16" applyFont="1" applyFill="1" applyAlignment="1">
      <alignment horizontal="left"/>
    </xf>
    <xf numFmtId="166" fontId="12" fillId="14" borderId="32" xfId="18" applyNumberFormat="1" applyFont="1" applyFill="1" applyBorder="1" applyAlignment="1">
      <alignment horizontal="center" vertical="center" wrapText="1"/>
    </xf>
    <xf numFmtId="166" fontId="12" fillId="14" borderId="36" xfId="18" applyNumberFormat="1" applyFont="1" applyFill="1" applyBorder="1" applyAlignment="1">
      <alignment horizontal="center" vertical="center" wrapText="1"/>
    </xf>
    <xf numFmtId="0" fontId="12" fillId="14" borderId="30" xfId="20" applyFont="1" applyFill="1" applyBorder="1" applyAlignment="1">
      <alignment horizontal="center"/>
    </xf>
    <xf numFmtId="0" fontId="12" fillId="14" borderId="0" xfId="20" applyFont="1" applyFill="1" applyAlignment="1">
      <alignment horizontal="center"/>
    </xf>
    <xf numFmtId="0" fontId="12" fillId="14" borderId="31" xfId="20" applyFont="1" applyFill="1" applyBorder="1" applyAlignment="1">
      <alignment horizontal="center"/>
    </xf>
    <xf numFmtId="0" fontId="12" fillId="14" borderId="19" xfId="20" applyFont="1" applyFill="1" applyBorder="1" applyAlignment="1">
      <alignment horizontal="center" vertical="center" wrapText="1"/>
    </xf>
    <xf numFmtId="0" fontId="12" fillId="14" borderId="20" xfId="20" applyFont="1" applyFill="1" applyBorder="1" applyAlignment="1">
      <alignment horizontal="center" vertical="center" wrapText="1"/>
    </xf>
    <xf numFmtId="0" fontId="12" fillId="0" borderId="19" xfId="20" applyFont="1" applyBorder="1" applyAlignment="1">
      <alignment horizontal="center" vertical="center" wrapText="1"/>
    </xf>
    <xf numFmtId="0" fontId="12" fillId="0" borderId="20" xfId="20" applyFont="1" applyBorder="1" applyAlignment="1">
      <alignment horizontal="center" vertical="center" wrapText="1"/>
    </xf>
    <xf numFmtId="0" fontId="12" fillId="7" borderId="0" xfId="16" applyFont="1" applyFill="1" applyAlignment="1">
      <alignment horizontal="left"/>
    </xf>
    <xf numFmtId="0" fontId="12" fillId="6" borderId="0" xfId="16" applyFont="1" applyFill="1" applyAlignment="1">
      <alignment horizontal="center" vertical="center"/>
    </xf>
    <xf numFmtId="0" fontId="9" fillId="16" borderId="3" xfId="16" applyFont="1" applyFill="1" applyBorder="1" applyAlignment="1">
      <alignment horizontal="center" vertical="center"/>
    </xf>
    <xf numFmtId="0" fontId="12" fillId="0" borderId="0" xfId="16" applyFont="1" applyAlignment="1">
      <alignment horizontal="center" vertical="center" wrapText="1"/>
    </xf>
    <xf numFmtId="0" fontId="36" fillId="0" borderId="0" xfId="16" applyFont="1" applyAlignment="1">
      <alignment horizontal="center" vertical="center" wrapText="1"/>
    </xf>
    <xf numFmtId="0" fontId="10" fillId="0" borderId="16" xfId="16" applyFont="1" applyBorder="1" applyAlignment="1">
      <alignment horizontal="right" wrapText="1"/>
    </xf>
    <xf numFmtId="0" fontId="10" fillId="0" borderId="5" xfId="16" applyFont="1" applyBorder="1" applyAlignment="1">
      <alignment horizontal="right" wrapText="1"/>
    </xf>
    <xf numFmtId="0" fontId="33" fillId="0" borderId="31" xfId="16" applyFont="1" applyBorder="1" applyAlignment="1">
      <alignment horizontal="center" vertical="center" wrapText="1"/>
    </xf>
    <xf numFmtId="0" fontId="33" fillId="0" borderId="28" xfId="16" applyFont="1" applyBorder="1" applyAlignment="1">
      <alignment horizontal="center" vertical="center" wrapText="1"/>
    </xf>
    <xf numFmtId="0" fontId="33" fillId="13" borderId="31" xfId="16" applyFont="1" applyFill="1" applyBorder="1" applyAlignment="1">
      <alignment horizontal="center" vertical="center" wrapText="1"/>
    </xf>
    <xf numFmtId="0" fontId="33" fillId="13" borderId="28" xfId="16" applyFont="1" applyFill="1" applyBorder="1" applyAlignment="1">
      <alignment horizontal="center" vertical="center" wrapText="1"/>
    </xf>
    <xf numFmtId="0" fontId="12" fillId="0" borderId="21" xfId="16" applyFont="1" applyBorder="1" applyAlignment="1">
      <alignment horizontal="center" wrapText="1"/>
    </xf>
    <xf numFmtId="0" fontId="12" fillId="0" borderId="33" xfId="16" applyFont="1" applyBorder="1" applyAlignment="1">
      <alignment horizontal="center" wrapText="1"/>
    </xf>
    <xf numFmtId="0" fontId="12" fillId="0" borderId="26" xfId="16" applyFont="1" applyBorder="1" applyAlignment="1">
      <alignment horizontal="center" wrapText="1"/>
    </xf>
    <xf numFmtId="0" fontId="12" fillId="0" borderId="38" xfId="16" applyFont="1" applyBorder="1" applyAlignment="1">
      <alignment horizontal="center" wrapText="1"/>
    </xf>
    <xf numFmtId="166" fontId="12" fillId="13" borderId="22" xfId="18" applyNumberFormat="1" applyFont="1" applyFill="1" applyBorder="1" applyAlignment="1">
      <alignment horizontal="center" vertical="center" wrapText="1"/>
    </xf>
    <xf numFmtId="166" fontId="12" fillId="13" borderId="27" xfId="18" applyNumberFormat="1" applyFont="1" applyFill="1" applyBorder="1" applyAlignment="1">
      <alignment horizontal="center" vertical="center" wrapText="1"/>
    </xf>
    <xf numFmtId="0" fontId="12" fillId="13" borderId="49" xfId="16" applyFont="1" applyFill="1" applyBorder="1" applyAlignment="1">
      <alignment horizontal="center" vertical="center" wrapText="1"/>
    </xf>
    <xf numFmtId="0" fontId="12" fillId="13" borderId="23" xfId="16" applyFont="1" applyFill="1" applyBorder="1" applyAlignment="1">
      <alignment horizontal="center" vertical="center" wrapText="1"/>
    </xf>
    <xf numFmtId="0" fontId="12" fillId="13" borderId="50" xfId="16" applyFont="1" applyFill="1" applyBorder="1" applyAlignment="1">
      <alignment horizontal="center" vertical="center" wrapText="1"/>
    </xf>
    <xf numFmtId="0" fontId="12" fillId="13" borderId="28" xfId="16" applyFont="1" applyFill="1" applyBorder="1" applyAlignment="1">
      <alignment horizontal="center" vertical="center" wrapText="1"/>
    </xf>
    <xf numFmtId="0" fontId="12" fillId="12" borderId="0" xfId="16" applyFont="1" applyFill="1" applyAlignment="1">
      <alignment horizontal="right"/>
    </xf>
    <xf numFmtId="0" fontId="12" fillId="7" borderId="0" xfId="16" applyFont="1" applyFill="1" applyAlignment="1">
      <alignment horizontal="right"/>
    </xf>
    <xf numFmtId="0" fontId="33" fillId="13" borderId="21" xfId="16" applyFont="1" applyFill="1" applyBorder="1" applyAlignment="1">
      <alignment horizontal="center" vertical="center" wrapText="1"/>
    </xf>
    <xf numFmtId="0" fontId="33" fillId="13" borderId="22" xfId="16" applyFont="1" applyFill="1" applyBorder="1" applyAlignment="1">
      <alignment horizontal="center" vertical="center" wrapText="1"/>
    </xf>
    <xf numFmtId="0" fontId="33" fillId="13" borderId="23" xfId="16" applyFont="1" applyFill="1" applyBorder="1" applyAlignment="1">
      <alignment horizontal="center" vertical="center" wrapText="1"/>
    </xf>
    <xf numFmtId="0" fontId="35" fillId="12" borderId="0" xfId="16" applyFont="1" applyFill="1" applyAlignment="1">
      <alignment horizontal="right"/>
    </xf>
    <xf numFmtId="0" fontId="35" fillId="7" borderId="0" xfId="16" applyFont="1" applyFill="1" applyAlignment="1">
      <alignment horizontal="right"/>
    </xf>
    <xf numFmtId="0" fontId="37" fillId="0" borderId="0" xfId="16" applyFont="1" applyAlignment="1">
      <alignment horizontal="left" wrapText="1"/>
    </xf>
    <xf numFmtId="0" fontId="9" fillId="0" borderId="0" xfId="16" applyFont="1" applyAlignment="1">
      <alignment horizontal="center" vertical="center"/>
    </xf>
    <xf numFmtId="0" fontId="9" fillId="16" borderId="6" xfId="16" applyFont="1" applyFill="1" applyBorder="1" applyAlignment="1">
      <alignment horizontal="center" vertical="center"/>
    </xf>
    <xf numFmtId="0" fontId="9" fillId="16" borderId="7" xfId="16" applyFont="1" applyFill="1" applyBorder="1" applyAlignment="1">
      <alignment horizontal="center" vertical="center"/>
    </xf>
    <xf numFmtId="166" fontId="12" fillId="13" borderId="41" xfId="18" applyNumberFormat="1" applyFont="1" applyFill="1" applyBorder="1" applyAlignment="1">
      <alignment horizontal="center" vertical="center" wrapText="1"/>
    </xf>
    <xf numFmtId="166" fontId="12" fillId="13" borderId="53" xfId="18" applyNumberFormat="1" applyFont="1" applyFill="1" applyBorder="1" applyAlignment="1">
      <alignment horizontal="center" vertical="center" wrapText="1"/>
    </xf>
  </cellXfs>
  <cellStyles count="31">
    <cellStyle name="Comma" xfId="8" builtinId="3"/>
    <cellStyle name="Comma 2" xfId="13" xr:uid="{2645ACD5-9BCF-4CC9-885A-EC9A263071E1}"/>
    <cellStyle name="Comma 2 2" xfId="17" xr:uid="{A748771B-10F6-469E-B2A5-810FDB3E8939}"/>
    <cellStyle name="Comma 2 3" xfId="28" xr:uid="{5471177A-C872-4380-8DEA-2A102D81B48E}"/>
    <cellStyle name="Currency" xfId="1" builtinId="4"/>
    <cellStyle name="Currency 2" xfId="15" xr:uid="{D22DE01E-089D-4168-B47C-BDCC4BA788F0}"/>
    <cellStyle name="Currency 3 2" xfId="18" xr:uid="{F8AD805E-C656-4619-A1B4-A8F1B42AD6D2}"/>
    <cellStyle name="Currency 6 2" xfId="19" xr:uid="{4B5BB10D-53B8-4C57-8841-6F933343036D}"/>
    <cellStyle name="Currency 7" xfId="23" xr:uid="{FC5AF57B-986E-42AA-9F77-03499C4BC59E}"/>
    <cellStyle name="Hyperlink" xfId="5" builtinId="8"/>
    <cellStyle name="Normal" xfId="0" builtinId="0"/>
    <cellStyle name="Normal 13" xfId="29" xr:uid="{CC40540B-4232-401D-B304-0ECD479328C8}"/>
    <cellStyle name="Normal 2" xfId="9" xr:uid="{9328B966-8287-4D48-9FF9-60B20EF3E8B1}"/>
    <cellStyle name="Normal 2 10" xfId="7" xr:uid="{6B6B90FE-9B78-45C9-A444-DEECA040A5C2}"/>
    <cellStyle name="Normal 2 2" xfId="14" xr:uid="{C071CDCD-A3D7-4829-A129-7B1E4F588D6D}"/>
    <cellStyle name="Normal 2 3" xfId="27" xr:uid="{0FEDA4FE-C230-46ED-83A7-8AAA9C419247}"/>
    <cellStyle name="Normal 3" xfId="12" xr:uid="{A3F6638A-C55D-4F05-8509-FC0AEB7C1552}"/>
    <cellStyle name="Normal 3 2" xfId="25" xr:uid="{F831050F-099F-4784-A440-9AD28AA118F2}"/>
    <cellStyle name="Normal 3 3" xfId="16" xr:uid="{BC81D139-8C50-41E1-8B98-ABFB9BC8B142}"/>
    <cellStyle name="Normal 4 2" xfId="11" xr:uid="{B4F3E130-6AD4-4DFA-975C-BD64EC3C32B4}"/>
    <cellStyle name="Normal 4 3" xfId="10" xr:uid="{7B5BFF31-737E-40EE-979F-7352AE794CF3}"/>
    <cellStyle name="Normal 5" xfId="24" xr:uid="{83B01523-E4C1-4D97-94A9-3E8EE1DFD4B4}"/>
    <cellStyle name="Normal 5 2 2" xfId="20" xr:uid="{693E86BB-F0E6-4AA6-88BC-94B3DBA10DB8}"/>
    <cellStyle name="Normal 6" xfId="26" xr:uid="{9CF97A72-4909-4966-8F6C-EFB911C178CE}"/>
    <cellStyle name="Normal_HRI Final I&amp;O Calc 0405fall numbers and funding rates" xfId="30" xr:uid="{9BEC53A5-D874-48E4-9796-59D445D5EBF8}"/>
    <cellStyle name="Normal_Infrastructure BY 04-05 Spring to LBB w final rates" xfId="4" xr:uid="{00000000-0005-0000-0000-000003000000}"/>
    <cellStyle name="Percent" xfId="2" builtinId="5"/>
    <cellStyle name="Percent 2" xfId="6" xr:uid="{00000000-0005-0000-0000-000005000000}"/>
    <cellStyle name="Percent 3 2 2" xfId="21" xr:uid="{044545E4-391F-456A-A6E7-B858CAA17C76}"/>
    <cellStyle name="Percent 4" xfId="22" xr:uid="{02FBFA9A-F2EE-48A4-BD4D-CB629A31E645}"/>
    <cellStyle name="Style 1" xfId="3" xr:uid="{00000000-0005-0000-0000-000006000000}"/>
  </cellStyles>
  <dxfs count="4">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CC66FF"/>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p\users\HIGHED\Destrada\82nd\CB%20Formula%20data\Fall%202010\HRI%20IFR%20FY%2012-13%20-%202%20-%20I%20&amp;%20O%20Formula%20-%2013%20-%20LB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I&amp;O Calc"/>
      <sheetName val="Weights"/>
      <sheetName val="Link Data"/>
      <sheetName val="Source Data"/>
    </sheetNames>
    <sheetDataSet>
      <sheetData sheetId="0"/>
      <sheetData sheetId="1">
        <row r="9">
          <cell r="K9">
            <v>926</v>
          </cell>
        </row>
      </sheetData>
      <sheetData sheetId="2">
        <row r="4">
          <cell r="B4" t="str">
            <v>AH</v>
          </cell>
        </row>
        <row r="16">
          <cell r="D16">
            <v>200</v>
          </cell>
        </row>
      </sheetData>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43CF-4956-4F1D-A5FB-E5B4C24EFF7A}">
  <sheetPr>
    <pageSetUpPr fitToPage="1"/>
  </sheetPr>
  <dimension ref="A1:K204"/>
  <sheetViews>
    <sheetView showGridLines="0" tabSelected="1" zoomScaleNormal="100" zoomScaleSheetLayoutView="90" workbookViewId="0">
      <pane ySplit="4" topLeftCell="A5" activePane="bottomLeft" state="frozen"/>
      <selection activeCell="E9" sqref="E9"/>
      <selection pane="bottomLeft" activeCell="A7" sqref="A7:B7"/>
    </sheetView>
  </sheetViews>
  <sheetFormatPr defaultColWidth="9.109375" defaultRowHeight="13.2"/>
  <cols>
    <col min="1" max="1" width="4.88671875" style="36" customWidth="1"/>
    <col min="2" max="2" width="32.109375" style="37" customWidth="1"/>
    <col min="3" max="3" width="18.44140625" style="36" customWidth="1"/>
    <col min="4" max="4" width="17.88671875" style="57" customWidth="1"/>
    <col min="5" max="5" width="10.109375" style="36" customWidth="1"/>
    <col min="6" max="6" width="16.44140625" style="36" customWidth="1"/>
    <col min="7" max="7" width="16.88671875" style="36" customWidth="1"/>
    <col min="8" max="8" width="17.44140625" style="36" customWidth="1"/>
    <col min="9" max="9" width="19.33203125" style="36" customWidth="1"/>
    <col min="10" max="10" width="24.33203125" style="36" customWidth="1"/>
    <col min="11" max="11" width="17.33203125" style="36" customWidth="1"/>
    <col min="12" max="16384" width="9.109375" style="36"/>
  </cols>
  <sheetData>
    <row r="1" spans="1:11" ht="16.5" customHeight="1">
      <c r="A1" s="36" t="s">
        <v>110</v>
      </c>
      <c r="B1" s="37" t="s">
        <v>110</v>
      </c>
      <c r="D1" s="38" t="s">
        <v>0</v>
      </c>
      <c r="F1" s="39"/>
    </row>
    <row r="2" spans="1:11" ht="17.25" customHeight="1">
      <c r="B2" s="36"/>
      <c r="D2" s="38" t="s">
        <v>47</v>
      </c>
      <c r="F2" s="39"/>
    </row>
    <row r="3" spans="1:11" ht="19.5" customHeight="1">
      <c r="B3" s="209"/>
      <c r="D3" s="38" t="s">
        <v>122</v>
      </c>
      <c r="F3" s="39"/>
      <c r="G3" s="37"/>
    </row>
    <row r="4" spans="1:11" ht="18" customHeight="1">
      <c r="C4" s="40"/>
      <c r="D4" s="91">
        <f ca="1">TODAY()</f>
        <v>45163</v>
      </c>
      <c r="E4" s="39"/>
      <c r="F4" s="39"/>
      <c r="G4" s="37"/>
    </row>
    <row r="5" spans="1:11" s="41" customFormat="1" ht="12.75" customHeight="1">
      <c r="B5" s="42"/>
    </row>
    <row r="6" spans="1:11" s="41" customFormat="1" ht="44.4" customHeight="1">
      <c r="B6" s="42"/>
      <c r="D6" s="222"/>
      <c r="G6" s="194" t="s">
        <v>102</v>
      </c>
      <c r="H6" s="194" t="s">
        <v>127</v>
      </c>
    </row>
    <row r="7" spans="1:11" ht="52.5" customHeight="1">
      <c r="A7" s="946" t="s">
        <v>48</v>
      </c>
      <c r="B7" s="946"/>
      <c r="C7" s="122" t="s">
        <v>49</v>
      </c>
      <c r="D7" s="122" t="s">
        <v>126</v>
      </c>
      <c r="E7" s="123" t="s">
        <v>91</v>
      </c>
      <c r="F7" s="123" t="s">
        <v>50</v>
      </c>
      <c r="G7" s="122" t="s">
        <v>98</v>
      </c>
      <c r="H7" s="122" t="s">
        <v>99</v>
      </c>
      <c r="I7" s="43"/>
      <c r="J7" s="43"/>
      <c r="K7" s="43"/>
    </row>
    <row r="8" spans="1:11">
      <c r="A8" s="115">
        <v>1</v>
      </c>
      <c r="B8" s="12" t="s">
        <v>23</v>
      </c>
      <c r="C8" s="128">
        <v>107678232</v>
      </c>
      <c r="D8" s="128">
        <v>111056738</v>
      </c>
      <c r="E8" s="114">
        <f>(D8-C8)/C8</f>
        <v>3.1375942353882628E-2</v>
      </c>
      <c r="F8" s="128">
        <f>D8-C8</f>
        <v>3378506</v>
      </c>
      <c r="G8" s="187">
        <v>5595.61</v>
      </c>
      <c r="H8" s="223">
        <v>5731.3587399999997</v>
      </c>
      <c r="I8" s="40"/>
    </row>
    <row r="9" spans="1:11">
      <c r="A9" s="115">
        <v>2</v>
      </c>
      <c r="B9" s="12" t="s">
        <v>76</v>
      </c>
      <c r="C9" s="154">
        <v>147504012</v>
      </c>
      <c r="D9" s="154">
        <v>144349868</v>
      </c>
      <c r="E9" s="114">
        <f t="shared" ref="E9:E18" si="0">(D9-C9)/C9</f>
        <v>-2.1383445488926768E-2</v>
      </c>
      <c r="F9" s="154">
        <f t="shared" ref="F9:F20" si="1">D9-C9</f>
        <v>-3154144</v>
      </c>
      <c r="G9" s="187">
        <v>7665.2</v>
      </c>
      <c r="H9" s="223">
        <v>7449.5332699999999</v>
      </c>
      <c r="I9" s="46"/>
    </row>
    <row r="10" spans="1:11">
      <c r="A10" s="115">
        <v>3</v>
      </c>
      <c r="B10" s="12" t="s">
        <v>77</v>
      </c>
      <c r="C10" s="154">
        <v>238481826</v>
      </c>
      <c r="D10" s="154">
        <v>234111398</v>
      </c>
      <c r="E10" s="114">
        <f t="shared" si="0"/>
        <v>-1.8326042169771042E-2</v>
      </c>
      <c r="F10" s="154">
        <f t="shared" si="1"/>
        <v>-4370428</v>
      </c>
      <c r="G10" s="187">
        <v>12032.98</v>
      </c>
      <c r="H10" s="223">
        <v>11766.45709</v>
      </c>
      <c r="I10" s="46"/>
    </row>
    <row r="11" spans="1:11">
      <c r="A11" s="115">
        <v>4</v>
      </c>
      <c r="B11" s="12" t="s">
        <v>78</v>
      </c>
      <c r="C11" s="154">
        <v>177614742</v>
      </c>
      <c r="D11" s="154">
        <v>183354708</v>
      </c>
      <c r="E11" s="114">
        <f t="shared" si="0"/>
        <v>3.2316945853514793E-2</v>
      </c>
      <c r="F11" s="154">
        <f t="shared" si="1"/>
        <v>5739966</v>
      </c>
      <c r="G11" s="187">
        <v>9184.7900000000009</v>
      </c>
      <c r="H11" s="223">
        <v>9375.4679599999999</v>
      </c>
      <c r="I11" s="46"/>
    </row>
    <row r="12" spans="1:11">
      <c r="A12" s="115">
        <v>5</v>
      </c>
      <c r="B12" s="12" t="s">
        <v>24</v>
      </c>
      <c r="C12" s="154">
        <v>7552044</v>
      </c>
      <c r="D12" s="154">
        <v>7553556</v>
      </c>
      <c r="E12" s="114">
        <f t="shared" si="0"/>
        <v>2.0021069792495913E-4</v>
      </c>
      <c r="F12" s="154">
        <f t="shared" si="1"/>
        <v>1512</v>
      </c>
      <c r="G12" s="187">
        <v>392.45</v>
      </c>
      <c r="H12" s="223">
        <v>389.82</v>
      </c>
      <c r="I12" s="46"/>
    </row>
    <row r="13" spans="1:11">
      <c r="A13" s="115">
        <v>6</v>
      </c>
      <c r="B13" s="12" t="s">
        <v>85</v>
      </c>
      <c r="C13" s="154">
        <v>4167770</v>
      </c>
      <c r="D13" s="154">
        <v>4695984</v>
      </c>
      <c r="E13" s="114">
        <f t="shared" si="0"/>
        <v>0.12673779983060485</v>
      </c>
      <c r="F13" s="154">
        <f t="shared" si="1"/>
        <v>528214</v>
      </c>
      <c r="G13" s="187">
        <v>111.35</v>
      </c>
      <c r="H13" s="223">
        <v>121.51781</v>
      </c>
      <c r="I13" s="46"/>
    </row>
    <row r="14" spans="1:11">
      <c r="A14" s="115">
        <v>7</v>
      </c>
      <c r="B14" s="12" t="s">
        <v>79</v>
      </c>
      <c r="C14" s="154">
        <v>183277542</v>
      </c>
      <c r="D14" s="154">
        <v>200009022</v>
      </c>
      <c r="E14" s="114">
        <f t="shared" si="0"/>
        <v>9.1290399344181511E-2</v>
      </c>
      <c r="F14" s="154">
        <f t="shared" si="1"/>
        <v>16731480</v>
      </c>
      <c r="G14" s="187">
        <v>8638.44</v>
      </c>
      <c r="H14" s="223">
        <v>9485.9919800000007</v>
      </c>
      <c r="I14" s="46"/>
    </row>
    <row r="15" spans="1:11">
      <c r="A15" s="115">
        <v>8</v>
      </c>
      <c r="B15" s="12" t="s">
        <v>80</v>
      </c>
      <c r="C15" s="154">
        <v>135799752</v>
      </c>
      <c r="D15" s="154">
        <v>131948678</v>
      </c>
      <c r="E15" s="114">
        <f t="shared" si="0"/>
        <v>-2.8358475941841189E-2</v>
      </c>
      <c r="F15" s="154">
        <f t="shared" si="1"/>
        <v>-3851074</v>
      </c>
      <c r="G15" s="187">
        <v>7056.98</v>
      </c>
      <c r="H15" s="223">
        <v>6809.5391</v>
      </c>
      <c r="I15" s="46"/>
    </row>
    <row r="16" spans="1:11">
      <c r="A16" s="115">
        <v>9</v>
      </c>
      <c r="B16" s="12" t="s">
        <v>75</v>
      </c>
      <c r="C16" s="154">
        <v>204217746</v>
      </c>
      <c r="D16" s="154">
        <v>202646542</v>
      </c>
      <c r="E16" s="114">
        <f t="shared" si="0"/>
        <v>-7.6937681997528264E-3</v>
      </c>
      <c r="F16" s="154">
        <f t="shared" si="1"/>
        <v>-1571204</v>
      </c>
      <c r="G16" s="187">
        <v>9942.1299999999992</v>
      </c>
      <c r="H16" s="223">
        <v>9606.1999299999989</v>
      </c>
      <c r="I16" s="46"/>
    </row>
    <row r="17" spans="1:10">
      <c r="A17" s="115">
        <v>10</v>
      </c>
      <c r="B17" s="12" t="s">
        <v>81</v>
      </c>
      <c r="C17" s="154">
        <v>47865628</v>
      </c>
      <c r="D17" s="154">
        <v>58167070</v>
      </c>
      <c r="E17" s="114">
        <f t="shared" si="0"/>
        <v>0.21521585384819353</v>
      </c>
      <c r="F17" s="154">
        <f t="shared" si="1"/>
        <v>10301442</v>
      </c>
      <c r="G17" s="187">
        <v>2487.39</v>
      </c>
      <c r="H17" s="223">
        <v>3001.8560400000001</v>
      </c>
      <c r="I17" s="46"/>
    </row>
    <row r="18" spans="1:10">
      <c r="A18" s="115">
        <v>11</v>
      </c>
      <c r="B18" s="12" t="s">
        <v>86</v>
      </c>
      <c r="C18" s="154">
        <v>17743926</v>
      </c>
      <c r="D18" s="154">
        <v>17959314</v>
      </c>
      <c r="E18" s="114">
        <f t="shared" si="0"/>
        <v>1.2138689036462393E-2</v>
      </c>
      <c r="F18" s="154">
        <f t="shared" si="1"/>
        <v>215388</v>
      </c>
      <c r="G18" s="187">
        <v>922.08</v>
      </c>
      <c r="H18" s="223">
        <v>926.83500000000004</v>
      </c>
      <c r="I18" s="46"/>
    </row>
    <row r="19" spans="1:10">
      <c r="A19" s="115">
        <v>12</v>
      </c>
      <c r="B19" s="12" t="s">
        <v>82</v>
      </c>
      <c r="C19" s="154">
        <v>20213440</v>
      </c>
      <c r="D19" s="154">
        <v>22287970</v>
      </c>
      <c r="E19" s="114">
        <f>(D19-C19)/C19</f>
        <v>0.10263121962417085</v>
      </c>
      <c r="F19" s="154">
        <f t="shared" si="1"/>
        <v>2074530</v>
      </c>
      <c r="G19" s="187">
        <v>1050.4100000000001</v>
      </c>
      <c r="H19" s="223">
        <v>1150.2260000000001</v>
      </c>
      <c r="I19" s="46"/>
    </row>
    <row r="20" spans="1:10">
      <c r="A20" s="115">
        <v>13</v>
      </c>
      <c r="B20" s="12" t="s">
        <v>83</v>
      </c>
      <c r="C20" s="154">
        <v>2743906</v>
      </c>
      <c r="D20" s="154">
        <v>11051886</v>
      </c>
      <c r="E20" s="114">
        <f>(D20-C20)/C20</f>
        <v>3.0277932261527911</v>
      </c>
      <c r="F20" s="154">
        <f t="shared" si="1"/>
        <v>8307980</v>
      </c>
      <c r="G20" s="187">
        <v>142.59</v>
      </c>
      <c r="H20" s="223">
        <v>570.36</v>
      </c>
      <c r="I20" s="46"/>
    </row>
    <row r="21" spans="1:10">
      <c r="A21" s="115">
        <v>14</v>
      </c>
      <c r="B21" s="12" t="s">
        <v>814</v>
      </c>
      <c r="C21" s="154">
        <v>0</v>
      </c>
      <c r="D21" s="154">
        <v>30392686</v>
      </c>
      <c r="E21" s="937" t="s">
        <v>120</v>
      </c>
      <c r="F21" s="154">
        <f>D21-C21</f>
        <v>30392686</v>
      </c>
      <c r="G21" s="187">
        <v>0</v>
      </c>
      <c r="H21" s="223">
        <v>1568.49</v>
      </c>
      <c r="I21" s="46"/>
    </row>
    <row r="22" spans="1:10">
      <c r="A22" s="115"/>
      <c r="B22" s="60" t="s">
        <v>15</v>
      </c>
      <c r="C22" s="110">
        <f>SUM(C8:C21)</f>
        <v>1294860566</v>
      </c>
      <c r="D22" s="110">
        <f>SUM(D8:D21)</f>
        <v>1359585420</v>
      </c>
      <c r="E22" s="155">
        <f>(D22-C22)/C22</f>
        <v>4.9985964280265215E-2</v>
      </c>
      <c r="F22" s="108">
        <f>D22-C22</f>
        <v>64724854</v>
      </c>
      <c r="G22" s="188">
        <f>SUM(G8:G21)</f>
        <v>65222.400000000001</v>
      </c>
      <c r="H22" s="188">
        <f>SUM(H8:H21)</f>
        <v>67953.652920000008</v>
      </c>
      <c r="I22" s="46"/>
    </row>
    <row r="23" spans="1:10">
      <c r="A23" s="115"/>
      <c r="B23" s="111" t="s">
        <v>51</v>
      </c>
      <c r="C23" s="112">
        <f>C22/C$69</f>
        <v>0.76275664634304319</v>
      </c>
      <c r="D23" s="112">
        <f>D22/D$69</f>
        <v>0.76356840047982266</v>
      </c>
      <c r="E23" s="114"/>
      <c r="F23" s="114">
        <f>D23-C23</f>
        <v>8.117541367794745E-4</v>
      </c>
      <c r="G23" s="115"/>
      <c r="H23" s="115"/>
      <c r="I23" s="46"/>
    </row>
    <row r="24" spans="1:10">
      <c r="A24" s="115"/>
      <c r="B24" s="195" t="s">
        <v>52</v>
      </c>
      <c r="C24" s="112"/>
      <c r="D24" s="113"/>
      <c r="E24" s="114"/>
      <c r="F24" s="112"/>
      <c r="G24" s="115"/>
      <c r="H24" s="115"/>
      <c r="I24" s="46"/>
    </row>
    <row r="25" spans="1:10">
      <c r="A25" s="115"/>
      <c r="B25" s="107" t="s">
        <v>53</v>
      </c>
      <c r="C25" s="179">
        <v>9621.6635067952902</v>
      </c>
      <c r="D25" s="179">
        <v>9688.5174829999996</v>
      </c>
      <c r="E25" s="114">
        <f>(D25-C25)/C25</f>
        <v>6.9482762681831308E-3</v>
      </c>
      <c r="F25" s="154">
        <f>D25-C25</f>
        <v>66.853976204709397</v>
      </c>
      <c r="G25" s="115"/>
      <c r="H25" s="115"/>
    </row>
    <row r="26" spans="1:10">
      <c r="A26" s="115"/>
      <c r="B26" s="195" t="s">
        <v>54</v>
      </c>
      <c r="C26" s="446">
        <v>29531.11</v>
      </c>
      <c r="D26" s="445">
        <f>'FTSE Summary'!I17</f>
        <v>29824.5</v>
      </c>
      <c r="E26" s="155">
        <f>(D26-C26)/C26</f>
        <v>9.9349465699054128E-3</v>
      </c>
      <c r="F26" s="154">
        <f>D26-C26</f>
        <v>293.38999999999942</v>
      </c>
      <c r="G26" s="115"/>
      <c r="H26" s="115"/>
    </row>
    <row r="27" spans="1:10" ht="15.6">
      <c r="B27" s="212"/>
      <c r="C27" s="49"/>
      <c r="D27" s="127"/>
      <c r="E27" s="49"/>
      <c r="F27" s="49"/>
    </row>
    <row r="28" spans="1:10" ht="26.4">
      <c r="B28" s="192"/>
      <c r="C28" s="49"/>
      <c r="D28" s="127"/>
      <c r="E28" s="193"/>
      <c r="F28" s="49"/>
      <c r="G28" s="189" t="s">
        <v>103</v>
      </c>
      <c r="H28" s="189" t="s">
        <v>123</v>
      </c>
    </row>
    <row r="29" spans="1:10" ht="47.25" customHeight="1">
      <c r="A29" s="944" t="s">
        <v>55</v>
      </c>
      <c r="B29" s="945"/>
      <c r="C29" s="122" t="str">
        <f>$C$7</f>
        <v>Total FY 22-23  Appropriations</v>
      </c>
      <c r="D29" s="122" t="str">
        <f>D$7</f>
        <v>Basis of Legislative Appropriations 
FY 24-25</v>
      </c>
      <c r="E29" s="124" t="str">
        <f>E$7</f>
        <v>Percent Biennial Change</v>
      </c>
      <c r="F29" s="124" t="str">
        <f>F$7</f>
        <v>$ Change</v>
      </c>
      <c r="G29" s="122" t="s">
        <v>100</v>
      </c>
      <c r="H29" s="122" t="s">
        <v>115</v>
      </c>
    </row>
    <row r="30" spans="1:10">
      <c r="A30" s="115">
        <v>1</v>
      </c>
      <c r="B30" s="107" t="s">
        <v>3</v>
      </c>
      <c r="C30" s="128">
        <v>60226264</v>
      </c>
      <c r="D30" s="128">
        <f>Infrastructure!G9</f>
        <v>62037926</v>
      </c>
      <c r="E30" s="50">
        <f>(D30-C30)/C30</f>
        <v>3.0080929476216555E-2</v>
      </c>
      <c r="F30" s="66">
        <f>D30-C30</f>
        <v>1811662</v>
      </c>
      <c r="G30" s="190">
        <v>4905902</v>
      </c>
      <c r="H30" s="190">
        <f>Infrastructure!B9</f>
        <v>5053476</v>
      </c>
      <c r="I30" s="197"/>
      <c r="J30" s="197"/>
    </row>
    <row r="31" spans="1:10">
      <c r="A31" s="115">
        <v>2</v>
      </c>
      <c r="B31" s="107" t="s">
        <v>4</v>
      </c>
      <c r="C31" s="154">
        <v>28146740</v>
      </c>
      <c r="D31" s="128">
        <f>Infrastructure!G10</f>
        <v>28365420</v>
      </c>
      <c r="E31" s="50">
        <f t="shared" ref="E31:E41" si="2">(D31-C31)/C31</f>
        <v>7.769283405467205E-3</v>
      </c>
      <c r="F31" s="109">
        <f t="shared" ref="F31:F41" si="3">D31-C31</f>
        <v>218680</v>
      </c>
      <c r="G31" s="190">
        <v>2292773</v>
      </c>
      <c r="H31" s="190">
        <f>Infrastructure!B10</f>
        <v>2310586</v>
      </c>
    </row>
    <row r="32" spans="1:10">
      <c r="A32" s="115">
        <v>3</v>
      </c>
      <c r="B32" s="107" t="s">
        <v>5</v>
      </c>
      <c r="C32" s="154">
        <v>48044946</v>
      </c>
      <c r="D32" s="128">
        <f>Infrastructure!G11</f>
        <v>51209430</v>
      </c>
      <c r="E32" s="50">
        <f t="shared" si="2"/>
        <v>6.5865075589844557E-2</v>
      </c>
      <c r="F32" s="109">
        <f t="shared" si="3"/>
        <v>3164484</v>
      </c>
      <c r="G32" s="190">
        <v>3913638</v>
      </c>
      <c r="H32" s="190">
        <f>Infrastructure!B11</f>
        <v>4171410</v>
      </c>
    </row>
    <row r="33" spans="1:9">
      <c r="A33" s="115">
        <v>4</v>
      </c>
      <c r="B33" s="107" t="s">
        <v>6</v>
      </c>
      <c r="C33" s="154">
        <v>31077656</v>
      </c>
      <c r="D33" s="128">
        <f>Infrastructure!G12</f>
        <v>31213334</v>
      </c>
      <c r="E33" s="50">
        <f>(D33-C33)/C33</f>
        <v>4.3657732745352477E-3</v>
      </c>
      <c r="F33" s="109">
        <f t="shared" si="3"/>
        <v>135678</v>
      </c>
      <c r="G33" s="190">
        <v>2531519</v>
      </c>
      <c r="H33" s="190">
        <f>Infrastructure!B12</f>
        <v>2542571</v>
      </c>
    </row>
    <row r="34" spans="1:9">
      <c r="A34" s="115">
        <v>5</v>
      </c>
      <c r="B34" s="107" t="s">
        <v>7</v>
      </c>
      <c r="C34" s="154">
        <v>68397324</v>
      </c>
      <c r="D34" s="128">
        <f>Infrastructure!G13</f>
        <v>66648078</v>
      </c>
      <c r="E34" s="50">
        <f t="shared" si="2"/>
        <v>-2.5574772486713075E-2</v>
      </c>
      <c r="F34" s="109">
        <f t="shared" si="3"/>
        <v>-1749246</v>
      </c>
      <c r="G34" s="190">
        <v>5571499</v>
      </c>
      <c r="H34" s="190">
        <f>Infrastructure!B13</f>
        <v>5429009</v>
      </c>
    </row>
    <row r="35" spans="1:9">
      <c r="A35" s="115">
        <v>6</v>
      </c>
      <c r="B35" s="107" t="s">
        <v>8</v>
      </c>
      <c r="C35" s="154">
        <v>3591562</v>
      </c>
      <c r="D35" s="128">
        <f>Infrastructure!G14</f>
        <v>4375270</v>
      </c>
      <c r="E35" s="50">
        <f t="shared" si="2"/>
        <v>0.21820812225989694</v>
      </c>
      <c r="F35" s="109">
        <f t="shared" si="3"/>
        <v>783708</v>
      </c>
      <c r="G35" s="190">
        <v>292561</v>
      </c>
      <c r="H35" s="190">
        <f>Infrastructure!B14</f>
        <v>356400</v>
      </c>
    </row>
    <row r="36" spans="1:9">
      <c r="A36" s="115">
        <v>7</v>
      </c>
      <c r="B36" s="107" t="s">
        <v>9</v>
      </c>
      <c r="C36" s="154">
        <v>23382498</v>
      </c>
      <c r="D36" s="128">
        <f>Infrastructure!G15</f>
        <v>25536140</v>
      </c>
      <c r="E36" s="50">
        <f t="shared" si="2"/>
        <v>9.2104872627381387E-2</v>
      </c>
      <c r="F36" s="109">
        <f t="shared" si="3"/>
        <v>2153642</v>
      </c>
      <c r="G36" s="190">
        <v>1904688</v>
      </c>
      <c r="H36" s="190">
        <f>Infrastructure!B15</f>
        <v>2080119</v>
      </c>
    </row>
    <row r="37" spans="1:9">
      <c r="A37" s="115">
        <v>8</v>
      </c>
      <c r="B37" s="107" t="s">
        <v>10</v>
      </c>
      <c r="C37" s="154">
        <v>8853548</v>
      </c>
      <c r="D37" s="128">
        <f>Infrastructure!G16</f>
        <v>8868378</v>
      </c>
      <c r="E37" s="50">
        <f t="shared" si="2"/>
        <v>1.6750346866589529E-3</v>
      </c>
      <c r="F37" s="109">
        <f t="shared" si="3"/>
        <v>14830</v>
      </c>
      <c r="G37" s="190">
        <v>721191</v>
      </c>
      <c r="H37" s="190">
        <f>Infrastructure!B16</f>
        <v>722399</v>
      </c>
    </row>
    <row r="38" spans="1:9">
      <c r="A38" s="115">
        <v>9</v>
      </c>
      <c r="B38" s="107" t="s">
        <v>11</v>
      </c>
      <c r="C38" s="154">
        <v>19381704</v>
      </c>
      <c r="D38" s="128">
        <f>Infrastructure!G17</f>
        <v>19407694</v>
      </c>
      <c r="E38" s="50">
        <f t="shared" si="2"/>
        <v>1.3409553669790849E-3</v>
      </c>
      <c r="F38" s="109">
        <f t="shared" si="3"/>
        <v>25990</v>
      </c>
      <c r="G38" s="190">
        <v>1578792</v>
      </c>
      <c r="H38" s="190">
        <f>Infrastructure!B17</f>
        <v>1580909</v>
      </c>
    </row>
    <row r="39" spans="1:9">
      <c r="A39" s="115">
        <v>10</v>
      </c>
      <c r="B39" s="107" t="s">
        <v>12</v>
      </c>
      <c r="C39" s="154">
        <v>6119876</v>
      </c>
      <c r="D39" s="128">
        <f>Infrastructure!G18</f>
        <v>6492560</v>
      </c>
      <c r="E39" s="50">
        <f t="shared" si="2"/>
        <v>6.0897312298484482E-2</v>
      </c>
      <c r="F39" s="109">
        <f t="shared" si="3"/>
        <v>372684</v>
      </c>
      <c r="G39" s="190">
        <v>498512</v>
      </c>
      <c r="H39" s="190">
        <f>Infrastructure!B18</f>
        <v>528870</v>
      </c>
    </row>
    <row r="40" spans="1:9">
      <c r="A40" s="115">
        <v>11</v>
      </c>
      <c r="B40" s="107" t="s">
        <v>13</v>
      </c>
      <c r="C40" s="154">
        <v>4860366</v>
      </c>
      <c r="D40" s="128">
        <f>Infrastructure!G19</f>
        <v>5319168</v>
      </c>
      <c r="E40" s="50">
        <f t="shared" si="2"/>
        <v>9.4396594824340388E-2</v>
      </c>
      <c r="F40" s="109">
        <f t="shared" si="3"/>
        <v>458802</v>
      </c>
      <c r="G40" s="190">
        <v>395915</v>
      </c>
      <c r="H40" s="190">
        <f>Infrastructure!B19</f>
        <v>433288</v>
      </c>
      <c r="I40" s="46"/>
    </row>
    <row r="41" spans="1:9">
      <c r="A41" s="115">
        <v>12</v>
      </c>
      <c r="B41" s="107" t="s">
        <v>14</v>
      </c>
      <c r="C41" s="154">
        <v>3211220</v>
      </c>
      <c r="D41" s="128">
        <f>Infrastructure!G20</f>
        <v>3468334</v>
      </c>
      <c r="E41" s="50">
        <f t="shared" si="2"/>
        <v>8.0067388718306431E-2</v>
      </c>
      <c r="F41" s="109">
        <f t="shared" si="3"/>
        <v>257114</v>
      </c>
      <c r="G41" s="190">
        <v>261579</v>
      </c>
      <c r="H41" s="190">
        <f>Infrastructure!B20</f>
        <v>282523</v>
      </c>
      <c r="I41" s="46"/>
    </row>
    <row r="42" spans="1:9">
      <c r="A42" s="115">
        <v>13</v>
      </c>
      <c r="B42" s="107" t="s">
        <v>33</v>
      </c>
      <c r="C42" s="154">
        <v>902160</v>
      </c>
      <c r="D42" s="128">
        <f>Infrastructure!G21</f>
        <v>1788778</v>
      </c>
      <c r="E42" s="50">
        <f>(D42-C42)/C42</f>
        <v>0.98277245721379802</v>
      </c>
      <c r="F42" s="109">
        <f>D42-C42</f>
        <v>886618</v>
      </c>
      <c r="G42" s="190">
        <v>73488</v>
      </c>
      <c r="H42" s="190">
        <f>Infrastructure!B21</f>
        <v>145710</v>
      </c>
      <c r="I42" s="46"/>
    </row>
    <row r="43" spans="1:9">
      <c r="A43" s="115">
        <v>14</v>
      </c>
      <c r="B43" s="12" t="str">
        <f>B21</f>
        <v>Sam Houston State Univ College of Osteopathic Medicine</v>
      </c>
      <c r="C43" s="154">
        <v>0</v>
      </c>
      <c r="D43" s="128">
        <f>Infrastructure!G22</f>
        <v>1204402</v>
      </c>
      <c r="E43" s="937" t="s">
        <v>120</v>
      </c>
      <c r="F43" s="154">
        <f>D43-C43</f>
        <v>1204402</v>
      </c>
      <c r="G43" s="223">
        <v>0</v>
      </c>
      <c r="H43" s="190">
        <f>Infrastructure!B22</f>
        <v>98108</v>
      </c>
      <c r="I43" s="46"/>
    </row>
    <row r="44" spans="1:9">
      <c r="A44" s="115"/>
      <c r="B44" s="60" t="s">
        <v>15</v>
      </c>
      <c r="C44" s="110">
        <f>SUM(C30:C43)</f>
        <v>306195864</v>
      </c>
      <c r="D44" s="110">
        <f>SUM(D30:D43)</f>
        <v>315934912</v>
      </c>
      <c r="E44" s="51">
        <f>(D44-C44)/C44</f>
        <v>3.1806595532590215E-2</v>
      </c>
      <c r="F44" s="121">
        <f>D44-C44</f>
        <v>9739048</v>
      </c>
      <c r="G44" s="191">
        <f>SUM(G30:G43)</f>
        <v>24942057</v>
      </c>
      <c r="H44" s="191">
        <f>SUM(H30:H43)</f>
        <v>25735378</v>
      </c>
    </row>
    <row r="45" spans="1:9">
      <c r="A45" s="115"/>
      <c r="B45" s="111" t="s">
        <v>51</v>
      </c>
      <c r="C45" s="112">
        <f>C44/C$69</f>
        <v>0.18036917370202046</v>
      </c>
      <c r="D45" s="112">
        <f>D44/D$69</f>
        <v>0.17743490910013843</v>
      </c>
      <c r="E45" s="114"/>
      <c r="F45" s="112">
        <f>D45-C45</f>
        <v>-2.9342646018820362E-3</v>
      </c>
      <c r="G45" s="115"/>
      <c r="H45" s="115"/>
    </row>
    <row r="46" spans="1:9">
      <c r="A46" s="115"/>
      <c r="B46" s="60" t="s">
        <v>56</v>
      </c>
      <c r="C46" s="180" t="s">
        <v>92</v>
      </c>
      <c r="D46" s="180" t="s">
        <v>116</v>
      </c>
      <c r="E46" s="114"/>
      <c r="F46" s="112"/>
      <c r="G46" s="115"/>
      <c r="H46" s="115"/>
    </row>
    <row r="47" spans="1:9">
      <c r="A47" s="115"/>
      <c r="B47" s="111" t="s">
        <v>57</v>
      </c>
      <c r="C47" s="181">
        <v>24942057</v>
      </c>
      <c r="D47" s="181">
        <f>Infrastructure!B23</f>
        <v>25735378</v>
      </c>
      <c r="E47" s="50">
        <f>(D47-C47)/C47</f>
        <v>3.1806558697223729E-2</v>
      </c>
      <c r="F47" s="109">
        <f>D47-C47</f>
        <v>793321</v>
      </c>
      <c r="G47" s="115"/>
      <c r="H47" s="115"/>
    </row>
    <row r="48" spans="1:9" ht="13.8">
      <c r="A48" s="115"/>
      <c r="B48" s="111" t="s">
        <v>21</v>
      </c>
      <c r="C48" s="182">
        <v>6.13814379369978</v>
      </c>
      <c r="D48" s="182">
        <f>Infrastructure!B26</f>
        <v>6.1381439999999996</v>
      </c>
      <c r="E48" s="50">
        <f>(D48-C48)/C48</f>
        <v>3.3609544922320936E-8</v>
      </c>
      <c r="F48" s="116">
        <f>D48-C48</f>
        <v>2.0630021957401823E-7</v>
      </c>
      <c r="G48" s="115"/>
      <c r="H48" s="115"/>
      <c r="I48" s="53"/>
    </row>
    <row r="49" spans="1:9" ht="13.8">
      <c r="B49" s="32"/>
      <c r="C49" s="125"/>
      <c r="D49" s="126"/>
      <c r="E49" s="45"/>
      <c r="F49" s="210"/>
      <c r="I49" s="53"/>
    </row>
    <row r="50" spans="1:9" ht="26.4">
      <c r="B50" s="32"/>
      <c r="C50" s="117"/>
      <c r="D50" s="118"/>
      <c r="E50" s="54"/>
      <c r="F50" s="211"/>
      <c r="G50" s="189" t="s">
        <v>106</v>
      </c>
      <c r="H50" s="189" t="s">
        <v>124</v>
      </c>
    </row>
    <row r="51" spans="1:9" ht="44.25" customHeight="1">
      <c r="A51" s="944" t="s">
        <v>58</v>
      </c>
      <c r="B51" s="945"/>
      <c r="C51" s="122" t="str">
        <f>$C$7</f>
        <v>Total FY 22-23  Appropriations</v>
      </c>
      <c r="D51" s="122" t="str">
        <f>D$7</f>
        <v>Basis of Legislative Appropriations 
FY 24-25</v>
      </c>
      <c r="E51" s="122" t="str">
        <f>E$7</f>
        <v>Percent Biennial Change</v>
      </c>
      <c r="F51" s="122" t="str">
        <f>F$7</f>
        <v>$ Change</v>
      </c>
      <c r="G51" s="122" t="s">
        <v>104</v>
      </c>
      <c r="H51" s="122" t="s">
        <v>112</v>
      </c>
    </row>
    <row r="52" spans="1:9">
      <c r="A52" s="115">
        <v>1</v>
      </c>
      <c r="B52" s="107" t="s">
        <v>3</v>
      </c>
      <c r="C52" s="128">
        <v>15059338</v>
      </c>
      <c r="D52" s="128">
        <f>Research!I7</f>
        <v>17775618</v>
      </c>
      <c r="E52" s="50">
        <f>(D52-C52)/C52</f>
        <v>0.18037180651632895</v>
      </c>
      <c r="F52" s="66">
        <f t="shared" ref="F52:F64" si="4">D52-C52</f>
        <v>2716280</v>
      </c>
      <c r="G52" s="190">
        <v>524109323</v>
      </c>
      <c r="H52" s="190">
        <f>Research!B7</f>
        <v>640472716</v>
      </c>
    </row>
    <row r="53" spans="1:9">
      <c r="A53" s="115">
        <v>2</v>
      </c>
      <c r="B53" s="107" t="s">
        <v>4</v>
      </c>
      <c r="C53" s="154">
        <v>6387428</v>
      </c>
      <c r="D53" s="128">
        <f>Research!I8</f>
        <v>6839488</v>
      </c>
      <c r="E53" s="50">
        <f t="shared" ref="E53:E63" si="5">(D53-C53)/C53</f>
        <v>7.077340049860445E-2</v>
      </c>
      <c r="F53" s="109">
        <f t="shared" si="4"/>
        <v>452060</v>
      </c>
      <c r="G53" s="190">
        <v>152611603</v>
      </c>
      <c r="H53" s="190">
        <f>Research!B8</f>
        <v>171977460</v>
      </c>
    </row>
    <row r="54" spans="1:9">
      <c r="A54" s="115">
        <v>3</v>
      </c>
      <c r="B54" s="107" t="s">
        <v>5</v>
      </c>
      <c r="C54" s="154">
        <v>8734138</v>
      </c>
      <c r="D54" s="128">
        <f>Research!I9</f>
        <v>10051924</v>
      </c>
      <c r="E54" s="50">
        <f t="shared" si="5"/>
        <v>0.15087762524475798</v>
      </c>
      <c r="F54" s="109">
        <f t="shared" si="4"/>
        <v>1317786</v>
      </c>
      <c r="G54" s="190">
        <v>253142796</v>
      </c>
      <c r="H54" s="190">
        <f>Research!B9</f>
        <v>309595732</v>
      </c>
    </row>
    <row r="55" spans="1:9">
      <c r="A55" s="115">
        <v>4</v>
      </c>
      <c r="B55" s="107" t="s">
        <v>6</v>
      </c>
      <c r="C55" s="154">
        <v>7381928</v>
      </c>
      <c r="D55" s="128">
        <f>Research!I10</f>
        <v>7993900</v>
      </c>
      <c r="E55" s="50">
        <f t="shared" si="5"/>
        <v>8.2901377526304776E-2</v>
      </c>
      <c r="F55" s="109">
        <f t="shared" si="4"/>
        <v>611972</v>
      </c>
      <c r="G55" s="190">
        <v>195215120</v>
      </c>
      <c r="H55" s="190">
        <f>Research!B10</f>
        <v>221431562</v>
      </c>
    </row>
    <row r="56" spans="1:9">
      <c r="A56" s="115">
        <v>5</v>
      </c>
      <c r="B56" s="107" t="s">
        <v>7</v>
      </c>
      <c r="C56" s="154">
        <v>25413576</v>
      </c>
      <c r="D56" s="128">
        <f>Research!I11</f>
        <v>27901082</v>
      </c>
      <c r="E56" s="50">
        <f t="shared" si="5"/>
        <v>9.7880990853077901E-2</v>
      </c>
      <c r="F56" s="109">
        <f t="shared" si="4"/>
        <v>2487506</v>
      </c>
      <c r="G56" s="190">
        <v>967676566</v>
      </c>
      <c r="H56" s="190">
        <f>Research!B11</f>
        <v>1074239585</v>
      </c>
    </row>
    <row r="57" spans="1:9">
      <c r="A57" s="115">
        <v>6</v>
      </c>
      <c r="B57" s="107" t="s">
        <v>8</v>
      </c>
      <c r="C57" s="154">
        <v>3321390</v>
      </c>
      <c r="D57" s="128">
        <f>Research!I12</f>
        <v>3475116</v>
      </c>
      <c r="E57" s="50">
        <f t="shared" si="5"/>
        <v>4.6283634261559167E-2</v>
      </c>
      <c r="F57" s="109">
        <f t="shared" si="4"/>
        <v>153726</v>
      </c>
      <c r="G57" s="190">
        <v>21264915</v>
      </c>
      <c r="H57" s="190">
        <f>Research!B12</f>
        <v>27850484</v>
      </c>
    </row>
    <row r="58" spans="1:9">
      <c r="A58" s="115">
        <v>7</v>
      </c>
      <c r="B58" s="107" t="s">
        <v>9</v>
      </c>
      <c r="C58" s="154">
        <v>9613134</v>
      </c>
      <c r="D58" s="128">
        <f>Research!I13</f>
        <v>6918334</v>
      </c>
      <c r="E58" s="50">
        <f>(D58-C58)/C58</f>
        <v>-0.28032481394725173</v>
      </c>
      <c r="F58" s="109">
        <f t="shared" si="4"/>
        <v>-2694800</v>
      </c>
      <c r="G58" s="190">
        <v>290798235</v>
      </c>
      <c r="H58" s="190">
        <f>Research!B13</f>
        <v>175355201</v>
      </c>
    </row>
    <row r="59" spans="1:9">
      <c r="A59" s="115">
        <v>8</v>
      </c>
      <c r="B59" s="107" t="s">
        <v>10</v>
      </c>
      <c r="C59" s="154">
        <v>3879416</v>
      </c>
      <c r="D59" s="128">
        <f>Research!I14</f>
        <v>4162820</v>
      </c>
      <c r="E59" s="50">
        <f t="shared" si="5"/>
        <v>7.3053263687111666E-2</v>
      </c>
      <c r="F59" s="109">
        <f t="shared" si="4"/>
        <v>283404</v>
      </c>
      <c r="G59" s="190">
        <v>45170308</v>
      </c>
      <c r="H59" s="190">
        <f>Research!B14</f>
        <v>57311147</v>
      </c>
    </row>
    <row r="60" spans="1:9">
      <c r="A60" s="115">
        <v>9</v>
      </c>
      <c r="B60" s="107" t="s">
        <v>11</v>
      </c>
      <c r="C60" s="154">
        <v>3854238</v>
      </c>
      <c r="D60" s="128">
        <f>Research!I15</f>
        <v>3905102</v>
      </c>
      <c r="E60" s="50">
        <f t="shared" si="5"/>
        <v>1.3196901696262659E-2</v>
      </c>
      <c r="F60" s="109">
        <f t="shared" si="4"/>
        <v>50864</v>
      </c>
      <c r="G60" s="190">
        <v>44091705</v>
      </c>
      <c r="H60" s="190">
        <f>Research!B15</f>
        <v>46270716</v>
      </c>
    </row>
    <row r="61" spans="1:9">
      <c r="A61" s="115">
        <v>10</v>
      </c>
      <c r="B61" s="107" t="s">
        <v>12</v>
      </c>
      <c r="C61" s="154">
        <v>3064190</v>
      </c>
      <c r="D61" s="128">
        <f>Research!I16</f>
        <v>3140956</v>
      </c>
      <c r="E61" s="50">
        <f t="shared" si="5"/>
        <v>2.5052624021356378E-2</v>
      </c>
      <c r="F61" s="109">
        <f t="shared" si="4"/>
        <v>76766</v>
      </c>
      <c r="G61" s="190">
        <v>10246673</v>
      </c>
      <c r="H61" s="190">
        <f>Research!B16</f>
        <v>13535299</v>
      </c>
    </row>
    <row r="62" spans="1:9">
      <c r="A62" s="115">
        <v>11</v>
      </c>
      <c r="B62" s="107" t="s">
        <v>13</v>
      </c>
      <c r="C62" s="154">
        <v>3658314</v>
      </c>
      <c r="D62" s="128">
        <f>Research!I17</f>
        <v>3888330</v>
      </c>
      <c r="E62" s="50">
        <f t="shared" si="5"/>
        <v>6.2874865306805264E-2</v>
      </c>
      <c r="F62" s="109">
        <f t="shared" si="4"/>
        <v>230016</v>
      </c>
      <c r="G62" s="190">
        <v>35698490</v>
      </c>
      <c r="H62" s="190">
        <f>Research!B17</f>
        <v>45552212</v>
      </c>
      <c r="I62" s="46"/>
    </row>
    <row r="63" spans="1:9">
      <c r="A63" s="115">
        <v>12</v>
      </c>
      <c r="B63" s="107" t="s">
        <v>14</v>
      </c>
      <c r="C63" s="154">
        <v>3352678</v>
      </c>
      <c r="D63" s="128">
        <f>Research!I18</f>
        <v>3315714</v>
      </c>
      <c r="E63" s="50">
        <f t="shared" si="5"/>
        <v>-1.1025216259956967E-2</v>
      </c>
      <c r="F63" s="109">
        <f t="shared" si="4"/>
        <v>-36964</v>
      </c>
      <c r="G63" s="190">
        <v>22605280</v>
      </c>
      <c r="H63" s="190">
        <f>Research!B18</f>
        <v>21021776</v>
      </c>
      <c r="I63" s="46"/>
    </row>
    <row r="64" spans="1:9">
      <c r="A64" s="115">
        <v>13</v>
      </c>
      <c r="B64" s="107" t="s">
        <v>33</v>
      </c>
      <c r="C64" s="154">
        <v>2830204</v>
      </c>
      <c r="D64" s="128">
        <f>Research!I19</f>
        <v>2842712</v>
      </c>
      <c r="E64" s="50">
        <f>(D64-C64)/C64</f>
        <v>4.4194694092722642E-3</v>
      </c>
      <c r="F64" s="109">
        <f t="shared" si="4"/>
        <v>12508</v>
      </c>
      <c r="G64" s="190">
        <v>222907</v>
      </c>
      <c r="H64" s="190">
        <f>Research!B19</f>
        <v>758750</v>
      </c>
      <c r="I64" s="46"/>
    </row>
    <row r="65" spans="1:9">
      <c r="A65" s="115">
        <v>14</v>
      </c>
      <c r="B65" s="12" t="str">
        <f>B21</f>
        <v>Sam Houston State Univ College of Osteopathic Medicine</v>
      </c>
      <c r="C65" s="154">
        <v>0</v>
      </c>
      <c r="D65" s="128">
        <f>Research!I20</f>
        <v>2836520</v>
      </c>
      <c r="E65" s="937" t="s">
        <v>120</v>
      </c>
      <c r="F65" s="154">
        <f>D65-C65</f>
        <v>2836520</v>
      </c>
      <c r="G65" s="190"/>
      <c r="H65" s="190">
        <f>Research!B20</f>
        <v>493473</v>
      </c>
      <c r="I65" s="46"/>
    </row>
    <row r="66" spans="1:9">
      <c r="A66" s="115"/>
      <c r="B66" s="60" t="s">
        <v>15</v>
      </c>
      <c r="C66" s="110">
        <f>SUM(C52:C65)</f>
        <v>96549972</v>
      </c>
      <c r="D66" s="110">
        <f>SUM(D52:D65)</f>
        <v>105047616</v>
      </c>
      <c r="E66" s="51">
        <f>(D66-C66)/C66</f>
        <v>8.8012910039994632E-2</v>
      </c>
      <c r="F66" s="121">
        <f>D66-C66</f>
        <v>8497644</v>
      </c>
      <c r="G66" s="191">
        <f>SUM(G52:G65)</f>
        <v>2562853921</v>
      </c>
      <c r="H66" s="191">
        <f>Research!B21</f>
        <v>2805866113</v>
      </c>
    </row>
    <row r="67" spans="1:9">
      <c r="A67" s="115"/>
      <c r="B67" s="111" t="s">
        <v>51</v>
      </c>
      <c r="C67" s="112">
        <f>C66/C$69</f>
        <v>5.6874179954936335E-2</v>
      </c>
      <c r="D67" s="112">
        <f>D66/D$69</f>
        <v>5.8996690420038946E-2</v>
      </c>
      <c r="E67" s="114"/>
      <c r="F67" s="112">
        <f>D67-C67</f>
        <v>2.1225104651026103E-3</v>
      </c>
      <c r="G67" s="191"/>
      <c r="H67" s="191"/>
    </row>
    <row r="68" spans="1:9">
      <c r="B68" s="36"/>
      <c r="C68" s="49"/>
      <c r="D68" s="127"/>
      <c r="E68" s="48"/>
      <c r="F68" s="49"/>
    </row>
    <row r="69" spans="1:9">
      <c r="B69" s="196" t="s">
        <v>105</v>
      </c>
      <c r="C69" s="128">
        <f>C66+C44+C22</f>
        <v>1697606402</v>
      </c>
      <c r="D69" s="110">
        <f>D66+D44+D22</f>
        <v>1780567948</v>
      </c>
      <c r="E69" s="177">
        <f>(D69-C69)/C69</f>
        <v>4.8869717917098196E-2</v>
      </c>
      <c r="F69" s="128">
        <f>D69-C69</f>
        <v>82961546</v>
      </c>
    </row>
    <row r="70" spans="1:9">
      <c r="B70" s="153"/>
      <c r="C70" s="112">
        <f>C67+C45+C23</f>
        <v>1</v>
      </c>
      <c r="D70" s="112">
        <f>D67+D45+D23</f>
        <v>1</v>
      </c>
      <c r="E70" s="112"/>
      <c r="F70" s="154">
        <f>D70-C70</f>
        <v>0</v>
      </c>
    </row>
    <row r="71" spans="1:9">
      <c r="D71" s="36"/>
    </row>
    <row r="72" spans="1:9" ht="48.75" customHeight="1">
      <c r="A72" s="947" t="s">
        <v>59</v>
      </c>
      <c r="B72" s="947"/>
      <c r="C72" s="122" t="str">
        <f>$C$7</f>
        <v>Total FY 22-23  Appropriations</v>
      </c>
      <c r="D72" s="122" t="str">
        <f>D$7</f>
        <v>Basis of Legislative Appropriations 
FY 24-25</v>
      </c>
      <c r="E72" s="122" t="str">
        <f>E$7</f>
        <v>Percent Biennial Change</v>
      </c>
      <c r="F72" s="122" t="str">
        <f>F$7</f>
        <v>$ Change</v>
      </c>
    </row>
    <row r="73" spans="1:9">
      <c r="A73" s="115">
        <v>1</v>
      </c>
      <c r="B73" s="107" t="s">
        <v>3</v>
      </c>
      <c r="C73" s="128">
        <f>ROUND(SUMIF($A$8:$A$66,$A73,C$8:C$66),0)</f>
        <v>182963834</v>
      </c>
      <c r="D73" s="128">
        <f>ROUND(SUMIF($A$8:$A$66,$A73,D$8:D$66),0)</f>
        <v>190870282</v>
      </c>
      <c r="E73" s="114">
        <f>(D73-C73)/C73</f>
        <v>4.3213174030885253E-2</v>
      </c>
      <c r="F73" s="128">
        <f>D73-C73</f>
        <v>7906448</v>
      </c>
    </row>
    <row r="74" spans="1:9">
      <c r="A74" s="115">
        <v>2</v>
      </c>
      <c r="B74" s="107" t="s">
        <v>4</v>
      </c>
      <c r="C74" s="154">
        <f t="shared" ref="C74:D85" si="6">ROUND(SUMIF($A$8:$A$66,$A74,C$8:C$66),0)</f>
        <v>182038180</v>
      </c>
      <c r="D74" s="154">
        <f t="shared" si="6"/>
        <v>179554776</v>
      </c>
      <c r="E74" s="114">
        <f t="shared" ref="E74:E84" si="7">(D74-C74)/C74</f>
        <v>-1.3642215056204143E-2</v>
      </c>
      <c r="F74" s="154">
        <f t="shared" ref="F74:F85" si="8">D74-C74</f>
        <v>-2483404</v>
      </c>
    </row>
    <row r="75" spans="1:9">
      <c r="A75" s="115">
        <v>3</v>
      </c>
      <c r="B75" s="107" t="s">
        <v>5</v>
      </c>
      <c r="C75" s="154">
        <f t="shared" si="6"/>
        <v>295260910</v>
      </c>
      <c r="D75" s="154">
        <f t="shared" si="6"/>
        <v>295372752</v>
      </c>
      <c r="E75" s="114">
        <f t="shared" si="7"/>
        <v>3.7879040608524849E-4</v>
      </c>
      <c r="F75" s="154">
        <f t="shared" si="8"/>
        <v>111842</v>
      </c>
    </row>
    <row r="76" spans="1:9">
      <c r="A76" s="115">
        <v>4</v>
      </c>
      <c r="B76" s="107" t="s">
        <v>6</v>
      </c>
      <c r="C76" s="154">
        <f t="shared" si="6"/>
        <v>216074326</v>
      </c>
      <c r="D76" s="154">
        <f t="shared" si="6"/>
        <v>222561942</v>
      </c>
      <c r="E76" s="114">
        <f t="shared" si="7"/>
        <v>3.0024927626061414E-2</v>
      </c>
      <c r="F76" s="154">
        <f t="shared" si="8"/>
        <v>6487616</v>
      </c>
    </row>
    <row r="77" spans="1:9">
      <c r="A77" s="115">
        <v>5</v>
      </c>
      <c r="B77" s="107" t="s">
        <v>7</v>
      </c>
      <c r="C77" s="154">
        <f t="shared" si="6"/>
        <v>101362944</v>
      </c>
      <c r="D77" s="154">
        <f t="shared" si="6"/>
        <v>102102716</v>
      </c>
      <c r="E77" s="114">
        <f t="shared" si="7"/>
        <v>7.2982489537794012E-3</v>
      </c>
      <c r="F77" s="154">
        <f t="shared" si="8"/>
        <v>739772</v>
      </c>
    </row>
    <row r="78" spans="1:9">
      <c r="A78" s="115">
        <v>6</v>
      </c>
      <c r="B78" s="107" t="s">
        <v>8</v>
      </c>
      <c r="C78" s="154">
        <f t="shared" si="6"/>
        <v>11080722</v>
      </c>
      <c r="D78" s="154">
        <f t="shared" si="6"/>
        <v>12546370</v>
      </c>
      <c r="E78" s="114">
        <f t="shared" si="7"/>
        <v>0.13227008131780582</v>
      </c>
      <c r="F78" s="154">
        <f t="shared" si="8"/>
        <v>1465648</v>
      </c>
    </row>
    <row r="79" spans="1:9">
      <c r="A79" s="115">
        <v>7</v>
      </c>
      <c r="B79" s="107" t="s">
        <v>9</v>
      </c>
      <c r="C79" s="154">
        <f t="shared" si="6"/>
        <v>216273174</v>
      </c>
      <c r="D79" s="154">
        <f t="shared" si="6"/>
        <v>232463496</v>
      </c>
      <c r="E79" s="114">
        <f t="shared" si="7"/>
        <v>7.4860518762257591E-2</v>
      </c>
      <c r="F79" s="154">
        <f t="shared" si="8"/>
        <v>16190322</v>
      </c>
    </row>
    <row r="80" spans="1:9">
      <c r="A80" s="115">
        <v>8</v>
      </c>
      <c r="B80" s="107" t="s">
        <v>10</v>
      </c>
      <c r="C80" s="154">
        <f t="shared" si="6"/>
        <v>148532716</v>
      </c>
      <c r="D80" s="154">
        <f t="shared" si="6"/>
        <v>144979876</v>
      </c>
      <c r="E80" s="114">
        <f t="shared" si="7"/>
        <v>-2.3919578768087698E-2</v>
      </c>
      <c r="F80" s="154">
        <f t="shared" si="8"/>
        <v>-3552840</v>
      </c>
    </row>
    <row r="81" spans="1:11">
      <c r="A81" s="115">
        <v>9</v>
      </c>
      <c r="B81" s="107" t="s">
        <v>11</v>
      </c>
      <c r="C81" s="154">
        <f t="shared" si="6"/>
        <v>227453688</v>
      </c>
      <c r="D81" s="154">
        <f t="shared" si="6"/>
        <v>225959338</v>
      </c>
      <c r="E81" s="114">
        <f t="shared" si="7"/>
        <v>-6.5699088598642555E-3</v>
      </c>
      <c r="F81" s="154">
        <f t="shared" si="8"/>
        <v>-1494350</v>
      </c>
    </row>
    <row r="82" spans="1:11">
      <c r="A82" s="115">
        <v>10</v>
      </c>
      <c r="B82" s="107" t="s">
        <v>12</v>
      </c>
      <c r="C82" s="154">
        <f t="shared" si="6"/>
        <v>57049694</v>
      </c>
      <c r="D82" s="154">
        <f t="shared" si="6"/>
        <v>67800586</v>
      </c>
      <c r="E82" s="114">
        <f t="shared" si="7"/>
        <v>0.1884478468894154</v>
      </c>
      <c r="F82" s="154">
        <f t="shared" si="8"/>
        <v>10750892</v>
      </c>
    </row>
    <row r="83" spans="1:11">
      <c r="A83" s="115">
        <v>11</v>
      </c>
      <c r="B83" s="107" t="s">
        <v>13</v>
      </c>
      <c r="C83" s="154">
        <f t="shared" si="6"/>
        <v>26262606</v>
      </c>
      <c r="D83" s="154">
        <f t="shared" si="6"/>
        <v>27166812</v>
      </c>
      <c r="E83" s="114">
        <f t="shared" si="7"/>
        <v>3.442940887130546E-2</v>
      </c>
      <c r="F83" s="154">
        <f t="shared" si="8"/>
        <v>904206</v>
      </c>
    </row>
    <row r="84" spans="1:11">
      <c r="A84" s="115">
        <v>12</v>
      </c>
      <c r="B84" s="107" t="s">
        <v>14</v>
      </c>
      <c r="C84" s="154">
        <f t="shared" si="6"/>
        <v>26777338</v>
      </c>
      <c r="D84" s="154">
        <f t="shared" si="6"/>
        <v>29072018</v>
      </c>
      <c r="E84" s="114">
        <f t="shared" si="7"/>
        <v>8.5694851370214625E-2</v>
      </c>
      <c r="F84" s="154">
        <f t="shared" si="8"/>
        <v>2294680</v>
      </c>
    </row>
    <row r="85" spans="1:11">
      <c r="A85" s="115">
        <v>13</v>
      </c>
      <c r="B85" s="107" t="s">
        <v>33</v>
      </c>
      <c r="C85" s="154">
        <f t="shared" si="6"/>
        <v>6476270</v>
      </c>
      <c r="D85" s="154">
        <f>ROUND(SUMIF($A$8:$A$66,$A85,D$8:D$66),0)</f>
        <v>15683376</v>
      </c>
      <c r="E85" s="178">
        <f>IFERROR((D85-C85)/C85,"100.0%")</f>
        <v>1.4216680280470086</v>
      </c>
      <c r="F85" s="154">
        <f t="shared" si="8"/>
        <v>9207106</v>
      </c>
    </row>
    <row r="86" spans="1:11">
      <c r="A86" s="115">
        <v>14</v>
      </c>
      <c r="B86" s="12" t="str">
        <f>B21</f>
        <v>Sam Houston State Univ College of Osteopathic Medicine</v>
      </c>
      <c r="C86" s="154">
        <v>0</v>
      </c>
      <c r="D86" s="154">
        <f>ROUND(SUMIF($A$8:$A$66,$A86,D$8:D$66),0)</f>
        <v>34433608</v>
      </c>
      <c r="E86" s="937" t="s">
        <v>120</v>
      </c>
      <c r="F86" s="154">
        <f>D86-C86</f>
        <v>34433608</v>
      </c>
      <c r="G86" s="225"/>
      <c r="H86" s="225">
        <f>Research!B37</f>
        <v>0</v>
      </c>
      <c r="I86" s="46"/>
    </row>
    <row r="87" spans="1:11">
      <c r="A87" s="115"/>
      <c r="B87" s="60" t="s">
        <v>60</v>
      </c>
      <c r="C87" s="110">
        <f>SUM(C73:C86)</f>
        <v>1697606402</v>
      </c>
      <c r="D87" s="110">
        <f>SUM(D73:D86)</f>
        <v>1780567948</v>
      </c>
      <c r="E87" s="155">
        <f>(D87-C87)/C87</f>
        <v>4.8869717917098196E-2</v>
      </c>
      <c r="F87" s="108">
        <f>D87-C87</f>
        <v>82961546</v>
      </c>
    </row>
    <row r="88" spans="1:11">
      <c r="E88" s="48"/>
      <c r="F88" s="49"/>
    </row>
    <row r="89" spans="1:11" ht="53.25" customHeight="1">
      <c r="A89" s="943" t="s">
        <v>61</v>
      </c>
      <c r="B89" s="943"/>
      <c r="C89" s="122" t="s">
        <v>817</v>
      </c>
      <c r="D89" s="122" t="str">
        <f>D$7</f>
        <v>Basis of Legislative Appropriations 
FY 24-25</v>
      </c>
      <c r="E89" s="122" t="str">
        <f>E$7</f>
        <v>Percent Biennial Change</v>
      </c>
      <c r="F89" s="122" t="str">
        <f>F$7</f>
        <v>$ Change</v>
      </c>
    </row>
    <row r="90" spans="1:11" ht="20.25" customHeight="1">
      <c r="A90" s="115">
        <v>1</v>
      </c>
      <c r="B90" s="107" t="s">
        <v>3</v>
      </c>
      <c r="C90" s="128">
        <f>'Summary Mission Specifics'!C32</f>
        <v>129955217</v>
      </c>
      <c r="D90" s="128">
        <f>'Summary Mission Specifics'!E32</f>
        <v>130840155</v>
      </c>
      <c r="E90" s="50">
        <f>(D90-C90)/C90</f>
        <v>6.8095611736772371E-3</v>
      </c>
      <c r="F90" s="66">
        <f t="shared" ref="F90:F95" si="9">D90-C90</f>
        <v>884938</v>
      </c>
      <c r="I90" s="152"/>
      <c r="J90" s="150"/>
      <c r="K90" s="150"/>
    </row>
    <row r="91" spans="1:11" ht="20.25" customHeight="1">
      <c r="A91" s="115">
        <v>2</v>
      </c>
      <c r="B91" s="107" t="s">
        <v>4</v>
      </c>
      <c r="C91" s="128">
        <f>'Summary Mission Specifics'!C33</f>
        <v>315710175</v>
      </c>
      <c r="D91" s="128">
        <f>'Summary Mission Specifics'!E33</f>
        <v>322252148</v>
      </c>
      <c r="E91" s="50">
        <f t="shared" ref="E91:E93" si="10">(D91-C91)/C91</f>
        <v>2.0721451248760039E-2</v>
      </c>
      <c r="F91" s="66">
        <f t="shared" si="9"/>
        <v>6541973</v>
      </c>
      <c r="I91" s="151"/>
      <c r="J91" s="150"/>
      <c r="K91" s="150"/>
    </row>
    <row r="92" spans="1:11" ht="20.25" customHeight="1">
      <c r="A92" s="115">
        <v>3</v>
      </c>
      <c r="B92" s="107" t="s">
        <v>5</v>
      </c>
      <c r="C92" s="128">
        <f>'Summary Mission Specifics'!C34</f>
        <v>33259549</v>
      </c>
      <c r="D92" s="128">
        <f>'Summary Mission Specifics'!E34</f>
        <v>42949947</v>
      </c>
      <c r="E92" s="50">
        <f t="shared" si="10"/>
        <v>0.29135686716617837</v>
      </c>
      <c r="F92" s="66">
        <f t="shared" si="9"/>
        <v>9690398</v>
      </c>
      <c r="I92" s="152"/>
      <c r="J92" s="150"/>
      <c r="K92" s="150"/>
    </row>
    <row r="93" spans="1:11" ht="20.25" customHeight="1">
      <c r="A93" s="115">
        <v>4</v>
      </c>
      <c r="B93" s="107" t="s">
        <v>6</v>
      </c>
      <c r="C93" s="128">
        <f>'Summary Mission Specifics'!C35</f>
        <v>33443279</v>
      </c>
      <c r="D93" s="128">
        <f>'Summary Mission Specifics'!E35</f>
        <v>38515512</v>
      </c>
      <c r="E93" s="50">
        <f t="shared" si="10"/>
        <v>0.15166673698473168</v>
      </c>
      <c r="F93" s="66">
        <f t="shared" si="9"/>
        <v>5072233</v>
      </c>
      <c r="I93" s="152"/>
      <c r="J93" s="150"/>
      <c r="K93" s="150"/>
    </row>
    <row r="94" spans="1:11" ht="20.25" customHeight="1">
      <c r="A94" s="115">
        <v>5</v>
      </c>
      <c r="B94" s="107" t="s">
        <v>62</v>
      </c>
      <c r="C94" s="128">
        <f>'Summary Mission Specifics'!C36</f>
        <v>289028563</v>
      </c>
      <c r="D94" s="128">
        <f>'Summary Mission Specifics'!E36</f>
        <v>294999156</v>
      </c>
      <c r="E94" s="50">
        <f>(D94-C94)/C94</f>
        <v>2.0657449692956471E-2</v>
      </c>
      <c r="F94" s="66">
        <f t="shared" si="9"/>
        <v>5970593</v>
      </c>
      <c r="I94" s="151"/>
    </row>
    <row r="95" spans="1:11" ht="20.25" customHeight="1">
      <c r="A95" s="115">
        <v>6</v>
      </c>
      <c r="B95" s="107" t="s">
        <v>8</v>
      </c>
      <c r="C95" s="128">
        <f>'Summary Mission Specifics'!C37</f>
        <v>64000337</v>
      </c>
      <c r="D95" s="128">
        <f>'Summary Mission Specifics'!E37</f>
        <v>65322421</v>
      </c>
      <c r="E95" s="50">
        <f>(D95-C95)/C95</f>
        <v>2.0657453725595225E-2</v>
      </c>
      <c r="F95" s="66">
        <f t="shared" si="9"/>
        <v>1322084</v>
      </c>
      <c r="I95" s="151"/>
    </row>
    <row r="96" spans="1:11" ht="20.25" customHeight="1">
      <c r="A96" s="115">
        <v>7</v>
      </c>
      <c r="B96" s="107" t="s">
        <v>9</v>
      </c>
      <c r="C96" s="128">
        <f>'Summary Mission Specifics'!C38</f>
        <v>37192293</v>
      </c>
      <c r="D96" s="128">
        <f>'Summary Mission Specifics'!E38</f>
        <v>37467052</v>
      </c>
      <c r="E96" s="50">
        <f t="shared" ref="E96:E98" si="11">(D96-C96)/C96</f>
        <v>7.387525152052335E-3</v>
      </c>
      <c r="F96" s="66">
        <f t="shared" ref="F96:F97" si="12">D96-C96</f>
        <v>274759</v>
      </c>
      <c r="I96" s="152"/>
    </row>
    <row r="97" spans="1:9" ht="20.25" customHeight="1">
      <c r="A97" s="115">
        <v>8</v>
      </c>
      <c r="B97" s="107" t="s">
        <v>10</v>
      </c>
      <c r="C97" s="128">
        <f>'Summary Mission Specifics'!C39</f>
        <v>20691695</v>
      </c>
      <c r="D97" s="128">
        <f>'Summary Mission Specifics'!E39</f>
        <v>29295636</v>
      </c>
      <c r="E97" s="50">
        <f t="shared" si="11"/>
        <v>0.41581615232584862</v>
      </c>
      <c r="F97" s="66">
        <f t="shared" si="12"/>
        <v>8603941</v>
      </c>
      <c r="I97" s="152"/>
    </row>
    <row r="98" spans="1:9" ht="20.25" customHeight="1">
      <c r="A98" s="115">
        <v>9</v>
      </c>
      <c r="B98" s="107" t="s">
        <v>11</v>
      </c>
      <c r="C98" s="128">
        <f>'Summary Mission Specifics'!C40</f>
        <v>4617085</v>
      </c>
      <c r="D98" s="128">
        <f>'Summary Mission Specifics'!E40</f>
        <v>3852087</v>
      </c>
      <c r="E98" s="50">
        <f t="shared" si="11"/>
        <v>-0.16568852425285652</v>
      </c>
      <c r="F98" s="66">
        <f>D98-C98</f>
        <v>-764998</v>
      </c>
      <c r="I98" s="152"/>
    </row>
    <row r="99" spans="1:9" ht="20.25" customHeight="1">
      <c r="A99" s="115">
        <v>10</v>
      </c>
      <c r="B99" s="107" t="s">
        <v>12</v>
      </c>
      <c r="C99" s="128">
        <f>'Summary Mission Specifics'!C41</f>
        <v>28304249</v>
      </c>
      <c r="D99" s="128">
        <f>'Summary Mission Specifics'!E41</f>
        <v>28888943</v>
      </c>
      <c r="E99" s="50">
        <f>(D99-C99)/C99</f>
        <v>2.0657463831667111E-2</v>
      </c>
      <c r="F99" s="66">
        <f>D99-C99</f>
        <v>584694</v>
      </c>
      <c r="I99" s="151"/>
    </row>
    <row r="100" spans="1:9" ht="26.4">
      <c r="A100" s="115"/>
      <c r="B100" s="58" t="s">
        <v>63</v>
      </c>
      <c r="C100" s="110">
        <f>SUM(C90:C99)</f>
        <v>956202442</v>
      </c>
      <c r="D100" s="110">
        <f>SUM(D90:D99)</f>
        <v>994383057</v>
      </c>
      <c r="E100" s="51">
        <f>(D100-C100)/C100</f>
        <v>3.9929426367225275E-2</v>
      </c>
      <c r="F100" s="213">
        <f>D100-C100</f>
        <v>38180615</v>
      </c>
      <c r="I100" s="59"/>
    </row>
    <row r="101" spans="1:9">
      <c r="C101" s="37"/>
      <c r="I101" s="59"/>
    </row>
    <row r="102" spans="1:9" ht="26.4">
      <c r="C102" s="37"/>
      <c r="G102" s="189" t="s">
        <v>107</v>
      </c>
      <c r="H102" s="189" t="s">
        <v>125</v>
      </c>
      <c r="I102" s="59"/>
    </row>
    <row r="103" spans="1:9" ht="52.5" customHeight="1">
      <c r="A103" s="943" t="s">
        <v>64</v>
      </c>
      <c r="B103" s="943" t="s">
        <v>64</v>
      </c>
      <c r="C103" s="122" t="str">
        <f>$C$7</f>
        <v>Total FY 22-23  Appropriations</v>
      </c>
      <c r="D103" s="122" t="str">
        <f>D$7</f>
        <v>Basis of Legislative Appropriations 
FY 24-25</v>
      </c>
      <c r="E103" s="122" t="str">
        <f>E$7</f>
        <v>Percent Biennial Change</v>
      </c>
      <c r="F103" s="122" t="str">
        <f>F$7</f>
        <v>$ Change</v>
      </c>
      <c r="G103" s="122" t="s">
        <v>108</v>
      </c>
      <c r="H103" s="122" t="s">
        <v>117</v>
      </c>
      <c r="I103" s="59"/>
    </row>
    <row r="104" spans="1:9">
      <c r="A104" s="115">
        <v>1</v>
      </c>
      <c r="B104" s="107" t="s">
        <v>3</v>
      </c>
      <c r="C104" s="128">
        <v>16775354</v>
      </c>
      <c r="D104" s="128">
        <f>GME!E8</f>
        <v>18052908</v>
      </c>
      <c r="E104" s="50">
        <f>(D104-C104)/C104</f>
        <v>7.615660450444145E-2</v>
      </c>
      <c r="F104" s="198">
        <f t="shared" ref="F104:F117" si="13">D104-C104</f>
        <v>1277554</v>
      </c>
      <c r="G104" s="202">
        <v>1405</v>
      </c>
      <c r="H104" s="202">
        <f>GME!B8</f>
        <v>1512</v>
      </c>
      <c r="I104" s="132"/>
    </row>
    <row r="105" spans="1:9">
      <c r="A105" s="115">
        <v>2</v>
      </c>
      <c r="B105" s="107" t="s">
        <v>4</v>
      </c>
      <c r="C105" s="128">
        <v>7259370</v>
      </c>
      <c r="D105" s="128">
        <f>GME!E9</f>
        <v>7760840</v>
      </c>
      <c r="E105" s="50">
        <f t="shared" ref="E105:E115" si="14">(D105-C105)/C105</f>
        <v>6.9078997213256804E-2</v>
      </c>
      <c r="F105" s="199">
        <f t="shared" si="13"/>
        <v>501470</v>
      </c>
      <c r="G105" s="202">
        <v>608</v>
      </c>
      <c r="H105" s="202">
        <f>GME!B9</f>
        <v>650</v>
      </c>
      <c r="I105" s="59"/>
    </row>
    <row r="106" spans="1:9">
      <c r="A106" s="115">
        <v>3</v>
      </c>
      <c r="B106" s="107" t="s">
        <v>5</v>
      </c>
      <c r="C106" s="128">
        <v>13133730</v>
      </c>
      <c r="D106" s="128">
        <f>GME!E10</f>
        <v>13527742</v>
      </c>
      <c r="E106" s="50">
        <f t="shared" si="14"/>
        <v>3.0000007613983231E-2</v>
      </c>
      <c r="F106" s="199">
        <f t="shared" si="13"/>
        <v>394012</v>
      </c>
      <c r="G106" s="202">
        <v>1100</v>
      </c>
      <c r="H106" s="202">
        <f>GME!B10</f>
        <v>1133</v>
      </c>
      <c r="I106" s="59"/>
    </row>
    <row r="107" spans="1:9">
      <c r="A107" s="115">
        <v>4</v>
      </c>
      <c r="B107" s="107" t="s">
        <v>6</v>
      </c>
      <c r="C107" s="128">
        <v>9826418</v>
      </c>
      <c r="D107" s="128">
        <f>GME!E11</f>
        <v>10435346</v>
      </c>
      <c r="E107" s="50">
        <f t="shared" si="14"/>
        <v>6.1968460938665544E-2</v>
      </c>
      <c r="F107" s="199">
        <f t="shared" si="13"/>
        <v>608928</v>
      </c>
      <c r="G107" s="202">
        <v>823</v>
      </c>
      <c r="H107" s="202">
        <f>GME!B11</f>
        <v>874</v>
      </c>
      <c r="I107" s="59"/>
    </row>
    <row r="108" spans="1:9">
      <c r="A108" s="115">
        <v>5</v>
      </c>
      <c r="B108" s="107" t="s">
        <v>7</v>
      </c>
      <c r="C108" s="128">
        <v>1779024</v>
      </c>
      <c r="D108" s="128">
        <f>GME!E12</f>
        <v>1898420</v>
      </c>
      <c r="E108" s="50">
        <f t="shared" si="14"/>
        <v>6.7113203644245389E-2</v>
      </c>
      <c r="F108" s="199">
        <f t="shared" si="13"/>
        <v>119396</v>
      </c>
      <c r="G108" s="202">
        <v>149</v>
      </c>
      <c r="H108" s="202">
        <f>GME!B12</f>
        <v>159</v>
      </c>
      <c r="I108" s="59"/>
    </row>
    <row r="109" spans="1:9">
      <c r="A109" s="115">
        <v>6</v>
      </c>
      <c r="B109" s="107" t="s">
        <v>8</v>
      </c>
      <c r="C109" s="128">
        <v>1396952</v>
      </c>
      <c r="D109" s="128">
        <f>GME!E13</f>
        <v>1755144</v>
      </c>
      <c r="E109" s="50">
        <f t="shared" si="14"/>
        <v>0.25640966905090512</v>
      </c>
      <c r="F109" s="199">
        <f t="shared" si="13"/>
        <v>358192</v>
      </c>
      <c r="G109" s="202">
        <v>117</v>
      </c>
      <c r="H109" s="202">
        <f>GME!B13</f>
        <v>147</v>
      </c>
      <c r="I109" s="59"/>
    </row>
    <row r="110" spans="1:9">
      <c r="A110" s="115">
        <v>7</v>
      </c>
      <c r="B110" s="107" t="s">
        <v>9</v>
      </c>
      <c r="C110" s="128">
        <v>14912752</v>
      </c>
      <c r="D110" s="128">
        <f>GME!E14</f>
        <v>17312644</v>
      </c>
      <c r="E110" s="50">
        <f t="shared" si="14"/>
        <v>0.16092884800873775</v>
      </c>
      <c r="F110" s="199">
        <f t="shared" si="13"/>
        <v>2399892</v>
      </c>
      <c r="G110" s="202">
        <v>1249</v>
      </c>
      <c r="H110" s="202">
        <f>GME!B14</f>
        <v>1450</v>
      </c>
      <c r="I110" s="59"/>
    </row>
    <row r="111" spans="1:9">
      <c r="A111" s="115">
        <v>8</v>
      </c>
      <c r="B111" s="107" t="s">
        <v>10</v>
      </c>
      <c r="C111" s="128">
        <v>5647504</v>
      </c>
      <c r="D111" s="128">
        <f>GME!E15</f>
        <v>7354888</v>
      </c>
      <c r="E111" s="50">
        <f t="shared" si="14"/>
        <v>0.30232541667965174</v>
      </c>
      <c r="F111" s="199">
        <f t="shared" si="13"/>
        <v>1707384</v>
      </c>
      <c r="G111" s="202">
        <v>473</v>
      </c>
      <c r="H111" s="202">
        <f>GME!B15</f>
        <v>616</v>
      </c>
      <c r="I111" s="59"/>
    </row>
    <row r="112" spans="1:9">
      <c r="A112" s="115">
        <v>9</v>
      </c>
      <c r="B112" s="107" t="s">
        <v>11</v>
      </c>
      <c r="C112" s="128">
        <v>6399708</v>
      </c>
      <c r="D112" s="128">
        <f>GME!E16</f>
        <v>6889238</v>
      </c>
      <c r="E112" s="50">
        <f t="shared" si="14"/>
        <v>7.6492552472706574E-2</v>
      </c>
      <c r="F112" s="199">
        <f t="shared" si="13"/>
        <v>489530</v>
      </c>
      <c r="G112" s="202">
        <v>536</v>
      </c>
      <c r="H112" s="202">
        <f>GME!B16</f>
        <v>577</v>
      </c>
      <c r="I112" s="59"/>
    </row>
    <row r="113" spans="1:9">
      <c r="A113" s="115">
        <v>10</v>
      </c>
      <c r="B113" s="107" t="s">
        <v>12</v>
      </c>
      <c r="C113" s="128">
        <v>2937180</v>
      </c>
      <c r="D113" s="128">
        <f>GME!E17</f>
        <v>3534168</v>
      </c>
      <c r="E113" s="50">
        <f t="shared" si="14"/>
        <v>0.20325209895205607</v>
      </c>
      <c r="F113" s="199">
        <f t="shared" si="13"/>
        <v>596988</v>
      </c>
      <c r="G113" s="202">
        <v>246</v>
      </c>
      <c r="H113" s="202">
        <f>GME!B17</f>
        <v>296</v>
      </c>
      <c r="I113" s="59"/>
    </row>
    <row r="114" spans="1:9">
      <c r="A114" s="115">
        <v>11</v>
      </c>
      <c r="B114" s="107" t="s">
        <v>13</v>
      </c>
      <c r="C114" s="128">
        <v>4083396</v>
      </c>
      <c r="D114" s="128">
        <f>GME!E18</f>
        <v>4644564</v>
      </c>
      <c r="E114" s="50">
        <f t="shared" si="14"/>
        <v>0.13742678887866863</v>
      </c>
      <c r="F114" s="199">
        <f t="shared" si="13"/>
        <v>561168</v>
      </c>
      <c r="G114" s="202">
        <v>342</v>
      </c>
      <c r="H114" s="202">
        <f>GME!B18</f>
        <v>389</v>
      </c>
    </row>
    <row r="115" spans="1:9">
      <c r="A115" s="115">
        <v>12</v>
      </c>
      <c r="B115" s="107" t="s">
        <v>14</v>
      </c>
      <c r="C115" s="128">
        <v>2578986</v>
      </c>
      <c r="D115" s="128">
        <f>GME!E19</f>
        <v>3068516</v>
      </c>
      <c r="E115" s="50">
        <f t="shared" si="14"/>
        <v>0.18981491175213824</v>
      </c>
      <c r="F115" s="199">
        <f t="shared" si="13"/>
        <v>489530</v>
      </c>
      <c r="G115" s="202">
        <v>216</v>
      </c>
      <c r="H115" s="202">
        <f>GME!B19</f>
        <v>257</v>
      </c>
    </row>
    <row r="116" spans="1:9">
      <c r="A116" s="115">
        <v>13</v>
      </c>
      <c r="B116" s="107" t="s">
        <v>33</v>
      </c>
      <c r="C116" s="128">
        <v>0</v>
      </c>
      <c r="D116" s="128">
        <f>GME!E20</f>
        <v>1922300</v>
      </c>
      <c r="E116" s="218" t="s">
        <v>120</v>
      </c>
      <c r="F116" s="199">
        <f t="shared" si="13"/>
        <v>1922300</v>
      </c>
      <c r="G116" s="202">
        <v>0</v>
      </c>
      <c r="H116" s="202">
        <f>GME!B20</f>
        <v>161</v>
      </c>
    </row>
    <row r="117" spans="1:9">
      <c r="A117" s="115">
        <v>14</v>
      </c>
      <c r="B117" s="12" t="str">
        <f>B21</f>
        <v>Sam Houston State Univ College of Osteopathic Medicine</v>
      </c>
      <c r="C117" s="128">
        <v>0</v>
      </c>
      <c r="D117" s="128">
        <v>0</v>
      </c>
      <c r="E117" s="218" t="s">
        <v>120</v>
      </c>
      <c r="F117" s="199">
        <f t="shared" si="13"/>
        <v>0</v>
      </c>
      <c r="G117" s="202">
        <v>0</v>
      </c>
      <c r="H117" s="202">
        <v>0</v>
      </c>
    </row>
    <row r="118" spans="1:9">
      <c r="A118" s="115"/>
      <c r="B118" s="60" t="s">
        <v>65</v>
      </c>
      <c r="C118" s="110">
        <f>SUM(C104:C117)</f>
        <v>86730374</v>
      </c>
      <c r="D118" s="110">
        <f>SUM(D104:D117)</f>
        <v>98156718</v>
      </c>
      <c r="E118" s="51">
        <f>(D118-C118)/C118</f>
        <v>0.13174558661536501</v>
      </c>
      <c r="F118" s="214">
        <f>D118-C118</f>
        <v>11426344</v>
      </c>
      <c r="G118" s="201">
        <f>SUM(G104:G116)</f>
        <v>7264</v>
      </c>
      <c r="H118" s="201">
        <f>SUM(H104:H116)</f>
        <v>8221</v>
      </c>
    </row>
    <row r="119" spans="1:9">
      <c r="E119" s="48"/>
      <c r="G119" s="134"/>
      <c r="H119" s="200"/>
    </row>
    <row r="120" spans="1:9">
      <c r="A120" s="115">
        <v>15</v>
      </c>
      <c r="B120" s="52" t="s">
        <v>66</v>
      </c>
      <c r="C120" s="128">
        <v>16846994</v>
      </c>
      <c r="D120" s="128">
        <f>GME!E22</f>
        <v>18005150</v>
      </c>
      <c r="E120" s="56">
        <f>(D120-C120)/C120</f>
        <v>6.8745557812865607E-2</v>
      </c>
      <c r="F120" s="66">
        <f>D120-C120</f>
        <v>1158156</v>
      </c>
      <c r="G120" s="202">
        <v>1411</v>
      </c>
      <c r="H120" s="173">
        <f>GME!B22</f>
        <v>1508</v>
      </c>
    </row>
    <row r="121" spans="1:9">
      <c r="B121" s="47"/>
      <c r="C121" s="40"/>
      <c r="D121" s="48"/>
      <c r="E121" s="45"/>
      <c r="F121" s="61"/>
    </row>
    <row r="122" spans="1:9">
      <c r="B122" s="60" t="s">
        <v>67</v>
      </c>
      <c r="C122" s="110">
        <f>C120+C118</f>
        <v>103577368</v>
      </c>
      <c r="D122" s="110">
        <f>D120+D118</f>
        <v>116161868</v>
      </c>
      <c r="E122" s="51">
        <f>(D122-C122)/C122</f>
        <v>0.12149854976040712</v>
      </c>
      <c r="F122" s="213">
        <f>D122-C122</f>
        <v>12584500</v>
      </c>
      <c r="G122" s="201">
        <f>G118+G120</f>
        <v>8675</v>
      </c>
      <c r="H122" s="201">
        <f>H118+H120</f>
        <v>9729</v>
      </c>
    </row>
    <row r="123" spans="1:9">
      <c r="B123" s="111" t="s">
        <v>68</v>
      </c>
      <c r="C123" s="154">
        <v>8675</v>
      </c>
      <c r="D123" s="173">
        <f>GME!B23</f>
        <v>9729</v>
      </c>
      <c r="E123" s="50">
        <f>(D123-C123)/C123</f>
        <v>0.12149855907780979</v>
      </c>
      <c r="F123" s="174">
        <f>D123-C123</f>
        <v>1054</v>
      </c>
    </row>
    <row r="124" spans="1:9">
      <c r="B124" s="111" t="s">
        <v>69</v>
      </c>
      <c r="C124" s="175">
        <v>44075</v>
      </c>
      <c r="D124" s="175">
        <v>44805</v>
      </c>
      <c r="E124" s="50"/>
      <c r="F124" s="176"/>
    </row>
    <row r="125" spans="1:9">
      <c r="B125" s="111" t="s">
        <v>119</v>
      </c>
      <c r="C125" s="128">
        <v>5969.88</v>
      </c>
      <c r="D125" s="128">
        <f>GME!B25</f>
        <v>5969.8770759999998</v>
      </c>
      <c r="E125" s="50">
        <f>(D125-C125)/C125</f>
        <v>-4.8979208968158735E-7</v>
      </c>
      <c r="F125" s="66">
        <f>D125-C125</f>
        <v>-2.9240000003483146E-3</v>
      </c>
    </row>
    <row r="126" spans="1:9">
      <c r="C126" s="57"/>
      <c r="E126" s="48"/>
    </row>
    <row r="127" spans="1:9" ht="54" customHeight="1">
      <c r="A127" s="943" t="s">
        <v>70</v>
      </c>
      <c r="B127" s="943" t="s">
        <v>70</v>
      </c>
      <c r="C127" s="122" t="str">
        <f>$C$7</f>
        <v>Total FY 22-23  Appropriations</v>
      </c>
      <c r="D127" s="122" t="str">
        <f>D$7</f>
        <v>Basis of Legislative Appropriations 
FY 24-25</v>
      </c>
      <c r="E127" s="122" t="str">
        <f>E$7</f>
        <v>Percent Biennial Change</v>
      </c>
      <c r="F127" s="122" t="str">
        <f>F$7</f>
        <v>$ Change</v>
      </c>
    </row>
    <row r="128" spans="1:9">
      <c r="A128" s="115">
        <v>1</v>
      </c>
      <c r="B128" s="107" t="s">
        <v>3</v>
      </c>
      <c r="C128" s="128">
        <f t="shared" ref="C128:C140" si="15">ROUND(SUMIF($A$73:$A$118,$A128,C$73:C$118),0)</f>
        <v>329694405</v>
      </c>
      <c r="D128" s="128">
        <f t="shared" ref="D128:D141" ca="1" si="16">ROUND(SUMIF($A$73:$A$120,$A128,D$73:D$118),0)</f>
        <v>339763345</v>
      </c>
      <c r="E128" s="50">
        <f t="shared" ref="E128:E140" ca="1" si="17">(D128-C128)/C128</f>
        <v>3.0540221026802077E-2</v>
      </c>
      <c r="F128" s="66">
        <f ca="1">D128-C128</f>
        <v>10068940</v>
      </c>
    </row>
    <row r="129" spans="1:8">
      <c r="A129" s="115">
        <v>2</v>
      </c>
      <c r="B129" s="107" t="s">
        <v>4</v>
      </c>
      <c r="C129" s="128">
        <f t="shared" si="15"/>
        <v>505007725</v>
      </c>
      <c r="D129" s="128">
        <f t="shared" ca="1" si="16"/>
        <v>509567764</v>
      </c>
      <c r="E129" s="50">
        <f t="shared" ca="1" si="17"/>
        <v>9.0296420713168301E-3</v>
      </c>
      <c r="F129" s="109">
        <f ca="1">D129-C129</f>
        <v>4560039</v>
      </c>
    </row>
    <row r="130" spans="1:8">
      <c r="A130" s="115">
        <v>3</v>
      </c>
      <c r="B130" s="107" t="s">
        <v>5</v>
      </c>
      <c r="C130" s="128">
        <f t="shared" si="15"/>
        <v>341654189</v>
      </c>
      <c r="D130" s="128">
        <f t="shared" ca="1" si="16"/>
        <v>351850441</v>
      </c>
      <c r="E130" s="50">
        <f t="shared" ca="1" si="17"/>
        <v>2.9843778675285027E-2</v>
      </c>
      <c r="F130" s="109">
        <f t="shared" ref="F130:F139" ca="1" si="18">D130-C130</f>
        <v>10196252</v>
      </c>
    </row>
    <row r="131" spans="1:8">
      <c r="A131" s="115">
        <v>4</v>
      </c>
      <c r="B131" s="107" t="s">
        <v>6</v>
      </c>
      <c r="C131" s="128">
        <f t="shared" si="15"/>
        <v>259344023</v>
      </c>
      <c r="D131" s="128">
        <f t="shared" ca="1" si="16"/>
        <v>271512800</v>
      </c>
      <c r="E131" s="50">
        <f t="shared" ca="1" si="17"/>
        <v>4.6921370538005422E-2</v>
      </c>
      <c r="F131" s="109">
        <f t="shared" ca="1" si="18"/>
        <v>12168777</v>
      </c>
    </row>
    <row r="132" spans="1:8">
      <c r="A132" s="115">
        <v>5</v>
      </c>
      <c r="B132" s="107" t="s">
        <v>7</v>
      </c>
      <c r="C132" s="128">
        <f t="shared" si="15"/>
        <v>392170531</v>
      </c>
      <c r="D132" s="128">
        <f t="shared" ca="1" si="16"/>
        <v>399000292</v>
      </c>
      <c r="E132" s="50">
        <f t="shared" ca="1" si="17"/>
        <v>1.7415283556836147E-2</v>
      </c>
      <c r="F132" s="109">
        <f t="shared" ca="1" si="18"/>
        <v>6829761</v>
      </c>
    </row>
    <row r="133" spans="1:8">
      <c r="A133" s="115">
        <v>6</v>
      </c>
      <c r="B133" s="107" t="s">
        <v>8</v>
      </c>
      <c r="C133" s="128">
        <f t="shared" si="15"/>
        <v>76478011</v>
      </c>
      <c r="D133" s="128">
        <f t="shared" ca="1" si="16"/>
        <v>79623935</v>
      </c>
      <c r="E133" s="50">
        <f t="shared" ca="1" si="17"/>
        <v>4.1135013304673944E-2</v>
      </c>
      <c r="F133" s="109">
        <f t="shared" ca="1" si="18"/>
        <v>3145924</v>
      </c>
    </row>
    <row r="134" spans="1:8">
      <c r="A134" s="115">
        <v>7</v>
      </c>
      <c r="B134" s="107" t="s">
        <v>9</v>
      </c>
      <c r="C134" s="128">
        <f t="shared" si="15"/>
        <v>268378219</v>
      </c>
      <c r="D134" s="128">
        <f t="shared" ca="1" si="16"/>
        <v>287243192</v>
      </c>
      <c r="E134" s="50">
        <f t="shared" ca="1" si="17"/>
        <v>7.0292488974300849E-2</v>
      </c>
      <c r="F134" s="109">
        <f t="shared" ca="1" si="18"/>
        <v>18864973</v>
      </c>
    </row>
    <row r="135" spans="1:8">
      <c r="A135" s="115">
        <v>8</v>
      </c>
      <c r="B135" s="107" t="s">
        <v>10</v>
      </c>
      <c r="C135" s="128">
        <f t="shared" si="15"/>
        <v>174871915</v>
      </c>
      <c r="D135" s="128">
        <f t="shared" ca="1" si="16"/>
        <v>181630400</v>
      </c>
      <c r="E135" s="50">
        <f t="shared" ca="1" si="17"/>
        <v>3.8648201456477446E-2</v>
      </c>
      <c r="F135" s="109">
        <f t="shared" ca="1" si="18"/>
        <v>6758485</v>
      </c>
    </row>
    <row r="136" spans="1:8">
      <c r="A136" s="115">
        <v>9</v>
      </c>
      <c r="B136" s="107" t="s">
        <v>11</v>
      </c>
      <c r="C136" s="128">
        <f t="shared" si="15"/>
        <v>238470481</v>
      </c>
      <c r="D136" s="128">
        <f t="shared" ca="1" si="16"/>
        <v>236700663</v>
      </c>
      <c r="E136" s="50">
        <f t="shared" ca="1" si="17"/>
        <v>-7.4215391044562869E-3</v>
      </c>
      <c r="F136" s="109">
        <f t="shared" ca="1" si="18"/>
        <v>-1769818</v>
      </c>
    </row>
    <row r="137" spans="1:8">
      <c r="A137" s="115">
        <v>10</v>
      </c>
      <c r="B137" s="107" t="s">
        <v>12</v>
      </c>
      <c r="C137" s="128">
        <f t="shared" si="15"/>
        <v>88291123</v>
      </c>
      <c r="D137" s="128">
        <f t="shared" ca="1" si="16"/>
        <v>100223697</v>
      </c>
      <c r="E137" s="50">
        <f t="shared" ca="1" si="17"/>
        <v>0.13515032536170143</v>
      </c>
      <c r="F137" s="109">
        <f t="shared" ca="1" si="18"/>
        <v>11932574</v>
      </c>
    </row>
    <row r="138" spans="1:8">
      <c r="A138" s="115">
        <v>11</v>
      </c>
      <c r="B138" s="107" t="s">
        <v>13</v>
      </c>
      <c r="C138" s="128">
        <f>ROUND(SUMIF($A$73:$A$118,$A138,C$73:C$118),0)</f>
        <v>30346002</v>
      </c>
      <c r="D138" s="128">
        <f t="shared" ca="1" si="16"/>
        <v>31811376</v>
      </c>
      <c r="E138" s="50">
        <f t="shared" ca="1" si="17"/>
        <v>4.8288865202078347E-2</v>
      </c>
      <c r="F138" s="109">
        <f t="shared" ca="1" si="18"/>
        <v>1465374</v>
      </c>
    </row>
    <row r="139" spans="1:8">
      <c r="A139" s="115">
        <v>12</v>
      </c>
      <c r="B139" s="107" t="s">
        <v>14</v>
      </c>
      <c r="C139" s="128">
        <f t="shared" si="15"/>
        <v>29356324</v>
      </c>
      <c r="D139" s="128">
        <f t="shared" ca="1" si="16"/>
        <v>32140534</v>
      </c>
      <c r="E139" s="50">
        <f t="shared" ca="1" si="17"/>
        <v>9.4841915493234105E-2</v>
      </c>
      <c r="F139" s="109">
        <f t="shared" ca="1" si="18"/>
        <v>2784210</v>
      </c>
    </row>
    <row r="140" spans="1:8">
      <c r="A140" s="115">
        <v>13</v>
      </c>
      <c r="B140" s="107" t="s">
        <v>33</v>
      </c>
      <c r="C140" s="128">
        <f t="shared" si="15"/>
        <v>6476270</v>
      </c>
      <c r="D140" s="128">
        <f t="shared" ca="1" si="16"/>
        <v>17605676</v>
      </c>
      <c r="E140" s="50">
        <f t="shared" ca="1" si="17"/>
        <v>1.7184901185404562</v>
      </c>
      <c r="F140" s="109">
        <f ca="1">D140-C140</f>
        <v>11129406</v>
      </c>
    </row>
    <row r="141" spans="1:8">
      <c r="A141" s="115">
        <v>14</v>
      </c>
      <c r="B141" s="12" t="str">
        <f>B21</f>
        <v>Sam Houston State Univ College of Osteopathic Medicine</v>
      </c>
      <c r="C141" s="128">
        <f>ROUND(SUMIF($A$73:$A$118,$A141,C$73:C$118),0)</f>
        <v>0</v>
      </c>
      <c r="D141" s="128">
        <f t="shared" ca="1" si="16"/>
        <v>34433608</v>
      </c>
      <c r="E141" s="218" t="s">
        <v>120</v>
      </c>
      <c r="F141" s="109">
        <f ca="1">D141-C141</f>
        <v>34433608</v>
      </c>
      <c r="G141" s="226"/>
      <c r="H141" s="226"/>
    </row>
    <row r="142" spans="1:8" ht="27.6">
      <c r="A142" s="115"/>
      <c r="B142" s="133" t="s">
        <v>109</v>
      </c>
      <c r="C142" s="110">
        <f>SUM(C128:C141)</f>
        <v>2740539218</v>
      </c>
      <c r="D142" s="110">
        <f ca="1">SUM(D128:D141)</f>
        <v>2873107723</v>
      </c>
      <c r="E142" s="51">
        <f ca="1">(D142-C142)/C142</f>
        <v>4.8373146470330863E-2</v>
      </c>
      <c r="F142" s="213">
        <f ca="1">D142-C142</f>
        <v>132568505</v>
      </c>
    </row>
    <row r="143" spans="1:8" ht="13.8">
      <c r="B143" s="63"/>
      <c r="C143" s="40"/>
      <c r="D143" s="48"/>
      <c r="E143" s="64"/>
      <c r="F143" s="65"/>
    </row>
    <row r="144" spans="1:8">
      <c r="A144" s="115">
        <v>15</v>
      </c>
      <c r="B144" s="60" t="str">
        <f>B120</f>
        <v>Baylor Coll. of Medicine - GME</v>
      </c>
      <c r="C144" s="128">
        <f>ROUND(SUMIF($A73:$A120,$A144,C73:C120),0)</f>
        <v>16846994</v>
      </c>
      <c r="D144" s="128">
        <f>ROUND(SUMIF($A73:$A120,$A144,D73:D120),0)</f>
        <v>18005150</v>
      </c>
      <c r="E144" s="50">
        <f>(D144-C144)/C144</f>
        <v>6.8745557812865607E-2</v>
      </c>
      <c r="F144" s="66">
        <f>D144-C144</f>
        <v>1158156</v>
      </c>
    </row>
    <row r="145" spans="1:11">
      <c r="A145" s="137"/>
      <c r="B145" s="135"/>
      <c r="C145" s="136"/>
      <c r="D145" s="134"/>
      <c r="E145" s="55"/>
      <c r="F145" s="134"/>
    </row>
    <row r="146" spans="1:11" s="43" customFormat="1" ht="13.8">
      <c r="A146" s="36"/>
      <c r="B146" s="215" t="s">
        <v>71</v>
      </c>
      <c r="C146" s="110">
        <f>C144+C142</f>
        <v>2757386212</v>
      </c>
      <c r="D146" s="110">
        <f ca="1">D144+D142</f>
        <v>2891112873</v>
      </c>
      <c r="E146" s="51">
        <f ca="1">(D146-C146)/C146</f>
        <v>4.8497617206479306E-2</v>
      </c>
      <c r="F146" s="213">
        <f ca="1">D146-C146</f>
        <v>133726661</v>
      </c>
      <c r="G146" s="36"/>
      <c r="K146" s="36"/>
    </row>
    <row r="147" spans="1:11" s="43" customFormat="1">
      <c r="A147" s="36"/>
      <c r="B147" s="37"/>
      <c r="C147" s="62"/>
      <c r="D147" s="57"/>
      <c r="E147" s="36"/>
      <c r="F147" s="36"/>
      <c r="G147" s="36"/>
      <c r="K147" s="36"/>
    </row>
    <row r="148" spans="1:11" s="43" customFormat="1" ht="52.8">
      <c r="A148" s="142"/>
      <c r="B148" s="131" t="s">
        <v>72</v>
      </c>
      <c r="C148" s="122" t="str">
        <f>$C$7</f>
        <v>Total FY 22-23  Appropriations</v>
      </c>
      <c r="D148" s="122" t="str">
        <f>D$7</f>
        <v>Basis of Legislative Appropriations 
FY 24-25</v>
      </c>
      <c r="E148" s="122" t="str">
        <f>E$7</f>
        <v>Percent Biennial Change</v>
      </c>
      <c r="F148" s="122" t="str">
        <f>F$7</f>
        <v>$ Change</v>
      </c>
      <c r="G148" s="36"/>
      <c r="K148" s="36"/>
    </row>
    <row r="149" spans="1:11" s="43" customFormat="1">
      <c r="A149" s="36"/>
      <c r="B149" s="138" t="s">
        <v>48</v>
      </c>
      <c r="C149" s="128">
        <f>C22</f>
        <v>1294860566</v>
      </c>
      <c r="D149" s="128">
        <f>D22</f>
        <v>1359585420</v>
      </c>
      <c r="E149" s="50">
        <f>(D149-C149)/C149</f>
        <v>4.9985964280265215E-2</v>
      </c>
      <c r="F149" s="66">
        <f>D149-C149</f>
        <v>64724854</v>
      </c>
      <c r="G149" s="36"/>
      <c r="K149" s="36"/>
    </row>
    <row r="150" spans="1:11" s="43" customFormat="1">
      <c r="A150" s="36"/>
      <c r="B150" s="138" t="s">
        <v>55</v>
      </c>
      <c r="C150" s="154">
        <f>C44</f>
        <v>306195864</v>
      </c>
      <c r="D150" s="154">
        <f>D44</f>
        <v>315934912</v>
      </c>
      <c r="E150" s="50">
        <f>(D150-C150)/C150</f>
        <v>3.1806595532590215E-2</v>
      </c>
      <c r="F150" s="109">
        <f>D150-C150</f>
        <v>9739048</v>
      </c>
      <c r="G150" s="36"/>
      <c r="K150" s="36"/>
    </row>
    <row r="151" spans="1:11" s="43" customFormat="1">
      <c r="A151" s="36"/>
      <c r="B151" s="138" t="s">
        <v>58</v>
      </c>
      <c r="C151" s="154">
        <f>C66</f>
        <v>96549972</v>
      </c>
      <c r="D151" s="154">
        <f>D66</f>
        <v>105047616</v>
      </c>
      <c r="E151" s="50">
        <f>(D151-C151)/C151</f>
        <v>8.8012910039994632E-2</v>
      </c>
      <c r="F151" s="109">
        <f>D151-C151</f>
        <v>8497644</v>
      </c>
      <c r="G151" s="36"/>
      <c r="K151" s="36"/>
    </row>
    <row r="152" spans="1:11" s="43" customFormat="1">
      <c r="A152" s="36"/>
      <c r="B152" s="140" t="s">
        <v>73</v>
      </c>
      <c r="C152" s="128">
        <f>SUM(C149:C151)</f>
        <v>1697606402</v>
      </c>
      <c r="D152" s="128">
        <f>SUM(D149:D151)</f>
        <v>1780567948</v>
      </c>
      <c r="E152" s="50">
        <f>(D152-C152)/C152</f>
        <v>4.8869717917098196E-2</v>
      </c>
      <c r="F152" s="66">
        <f>D152-C152</f>
        <v>82961546</v>
      </c>
      <c r="G152" s="36"/>
      <c r="K152" s="36"/>
    </row>
    <row r="153" spans="1:11" s="43" customFormat="1">
      <c r="A153" s="36"/>
      <c r="B153" s="111"/>
      <c r="C153" s="115"/>
      <c r="D153" s="153"/>
      <c r="E153" s="50"/>
      <c r="F153" s="129"/>
      <c r="G153" s="36"/>
      <c r="K153" s="36"/>
    </row>
    <row r="154" spans="1:11" s="43" customFormat="1">
      <c r="A154" s="36"/>
      <c r="B154" s="138" t="s">
        <v>61</v>
      </c>
      <c r="C154" s="128">
        <f>C100</f>
        <v>956202442</v>
      </c>
      <c r="D154" s="128">
        <f>D100</f>
        <v>994383057</v>
      </c>
      <c r="E154" s="50">
        <f>(D154-C154)/C154</f>
        <v>3.9929426367225275E-2</v>
      </c>
      <c r="F154" s="66">
        <f>D154-C154</f>
        <v>38180615</v>
      </c>
      <c r="G154" s="36"/>
      <c r="K154" s="36"/>
    </row>
    <row r="155" spans="1:11" s="43" customFormat="1">
      <c r="A155" s="36"/>
      <c r="B155" s="138" t="s">
        <v>64</v>
      </c>
      <c r="C155" s="154">
        <f>C118</f>
        <v>86730374</v>
      </c>
      <c r="D155" s="154">
        <f>D118</f>
        <v>98156718</v>
      </c>
      <c r="E155" s="50">
        <f>(D155-C155)/C155</f>
        <v>0.13174558661536501</v>
      </c>
      <c r="F155" s="109">
        <f>D155-C155</f>
        <v>11426344</v>
      </c>
      <c r="G155" s="36"/>
      <c r="K155" s="36"/>
    </row>
    <row r="156" spans="1:11" s="43" customFormat="1">
      <c r="A156" s="36"/>
      <c r="B156" s="141" t="s">
        <v>93</v>
      </c>
      <c r="C156" s="110">
        <f>SUM(C152:C155)</f>
        <v>2740539218</v>
      </c>
      <c r="D156" s="110">
        <f>SUM(D152:D155)</f>
        <v>2873107723</v>
      </c>
      <c r="E156" s="51">
        <f>(D156-C156)/C156</f>
        <v>4.8373146470330863E-2</v>
      </c>
      <c r="F156" s="213">
        <f>D156-C156</f>
        <v>132568505</v>
      </c>
      <c r="G156" s="36"/>
      <c r="K156" s="36"/>
    </row>
    <row r="157" spans="1:11" s="43" customFormat="1">
      <c r="A157" s="36"/>
      <c r="B157" s="111"/>
      <c r="C157" s="128"/>
      <c r="D157" s="110"/>
      <c r="E157" s="50"/>
      <c r="F157" s="129"/>
      <c r="G157" s="36"/>
      <c r="K157" s="36"/>
    </row>
    <row r="158" spans="1:11" s="43" customFormat="1">
      <c r="A158" s="36"/>
      <c r="B158" s="60" t="s">
        <v>66</v>
      </c>
      <c r="C158" s="128">
        <f>C144</f>
        <v>16846994</v>
      </c>
      <c r="D158" s="128">
        <f>D144</f>
        <v>18005150</v>
      </c>
      <c r="E158" s="50">
        <f>(D158-C158)/C158</f>
        <v>6.8745557812865607E-2</v>
      </c>
      <c r="F158" s="66">
        <f>D158-C158</f>
        <v>1158156</v>
      </c>
      <c r="G158" s="36"/>
      <c r="K158" s="36"/>
    </row>
    <row r="159" spans="1:11">
      <c r="D159" s="36"/>
      <c r="E159" s="48"/>
    </row>
    <row r="160" spans="1:11" ht="19.5" customHeight="1">
      <c r="B160" s="60" t="s">
        <v>95</v>
      </c>
      <c r="C160" s="110">
        <f>C158+C156</f>
        <v>2757386212</v>
      </c>
      <c r="D160" s="110">
        <f>D158+D156</f>
        <v>2891112873</v>
      </c>
      <c r="E160" s="139">
        <f>(D160-C160)/C160</f>
        <v>4.8497617206479306E-2</v>
      </c>
      <c r="F160" s="110">
        <f>D160-C160</f>
        <v>133726661</v>
      </c>
    </row>
    <row r="161" spans="2:6">
      <c r="D161" s="36"/>
      <c r="E161" s="48"/>
    </row>
    <row r="162" spans="2:6" ht="52.8">
      <c r="B162" s="130" t="s">
        <v>84</v>
      </c>
      <c r="C162" s="122" t="str">
        <f>$C$7</f>
        <v>Total FY 22-23  Appropriations</v>
      </c>
      <c r="D162" s="122" t="str">
        <f>D$7</f>
        <v>Basis of Legislative Appropriations 
FY 24-25</v>
      </c>
      <c r="E162" s="122" t="str">
        <f>E$7</f>
        <v>Percent Biennial Change</v>
      </c>
      <c r="F162" s="122" t="str">
        <f>F$7</f>
        <v>$ Change</v>
      </c>
    </row>
    <row r="163" spans="2:6">
      <c r="B163" s="138" t="s">
        <v>48</v>
      </c>
      <c r="C163" s="183">
        <f>ROUND(C149/1000000,1)</f>
        <v>1294.9000000000001</v>
      </c>
      <c r="D163" s="183">
        <f>D149/1000000</f>
        <v>1359.5854200000001</v>
      </c>
      <c r="E163" s="50">
        <f>(D163-C163)/C163</f>
        <v>4.995398872499808E-2</v>
      </c>
      <c r="F163" s="143">
        <f>D163-C163</f>
        <v>64.685420000000022</v>
      </c>
    </row>
    <row r="164" spans="2:6">
      <c r="B164" s="138" t="s">
        <v>55</v>
      </c>
      <c r="C164" s="184">
        <f>ROUND(C150/1000000,1)</f>
        <v>306.2</v>
      </c>
      <c r="D164" s="184">
        <f>D150/1000000</f>
        <v>315.934912</v>
      </c>
      <c r="E164" s="50">
        <f>(D164-C164)/C164</f>
        <v>3.1792658393207086E-2</v>
      </c>
      <c r="F164" s="144">
        <f>D164-C164</f>
        <v>9.7349120000000084</v>
      </c>
    </row>
    <row r="165" spans="2:6">
      <c r="B165" s="138" t="s">
        <v>58</v>
      </c>
      <c r="C165" s="184">
        <f>ROUND(C151/1000000,1)</f>
        <v>96.5</v>
      </c>
      <c r="D165" s="184">
        <f>D151/1000000</f>
        <v>105.047616</v>
      </c>
      <c r="E165" s="50">
        <f>(D165-C165)/C165</f>
        <v>8.8576331606217668E-2</v>
      </c>
      <c r="F165" s="144">
        <f>D165-C165</f>
        <v>8.547616000000005</v>
      </c>
    </row>
    <row r="166" spans="2:6">
      <c r="B166" s="140" t="s">
        <v>74</v>
      </c>
      <c r="C166" s="183">
        <f>SUM(C163:C165)</f>
        <v>1697.6000000000001</v>
      </c>
      <c r="D166" s="183">
        <f>SUM(D163:D165)</f>
        <v>1780.5679480000001</v>
      </c>
      <c r="E166" s="50">
        <f>(D166-C166)/C166</f>
        <v>4.8873673421300647E-2</v>
      </c>
      <c r="F166" s="143">
        <f>SUM(F163:F165)</f>
        <v>82.967948000000035</v>
      </c>
    </row>
    <row r="167" spans="2:6">
      <c r="B167" s="111"/>
      <c r="C167" s="184"/>
      <c r="D167" s="184"/>
      <c r="E167" s="50"/>
      <c r="F167" s="144"/>
    </row>
    <row r="168" spans="2:6">
      <c r="B168" s="138" t="s">
        <v>61</v>
      </c>
      <c r="C168" s="183">
        <f>ROUND(C154/1000000,1)</f>
        <v>956.2</v>
      </c>
      <c r="D168" s="183">
        <f>D154/1000000</f>
        <v>994.38305700000001</v>
      </c>
      <c r="E168" s="50">
        <f>(D168-C168)/C168</f>
        <v>3.9932082200376452E-2</v>
      </c>
      <c r="F168" s="144">
        <f>D168-C168</f>
        <v>38.183056999999962</v>
      </c>
    </row>
    <row r="169" spans="2:6">
      <c r="B169" s="138" t="s">
        <v>64</v>
      </c>
      <c r="C169" s="184">
        <f>ROUND(C155/1000000,1)</f>
        <v>86.7</v>
      </c>
      <c r="D169" s="184">
        <f>D155/1000000</f>
        <v>98.156717999999998</v>
      </c>
      <c r="E169" s="50">
        <f>(D169-C169)/C169</f>
        <v>0.13214207612456741</v>
      </c>
      <c r="F169" s="144">
        <f>D169-C169</f>
        <v>11.456717999999995</v>
      </c>
    </row>
    <row r="170" spans="2:6">
      <c r="B170" s="147" t="s">
        <v>94</v>
      </c>
      <c r="C170" s="185">
        <f>SUM(C166:C169)</f>
        <v>2740.5</v>
      </c>
      <c r="D170" s="185">
        <f>SUM(D166:D169)</f>
        <v>2873.1077230000001</v>
      </c>
      <c r="E170" s="146">
        <f>(D170-C170)/C170</f>
        <v>4.8388149242838928E-2</v>
      </c>
      <c r="F170" s="145">
        <f>SUM(F166:F169)</f>
        <v>132.60772299999999</v>
      </c>
    </row>
    <row r="171" spans="2:6">
      <c r="B171" s="111"/>
      <c r="C171" s="184"/>
      <c r="D171" s="184"/>
      <c r="E171" s="50"/>
      <c r="F171" s="144"/>
    </row>
    <row r="172" spans="2:6">
      <c r="B172" s="60" t="s">
        <v>66</v>
      </c>
      <c r="C172" s="183">
        <f>C158/1000000</f>
        <v>16.846993999999999</v>
      </c>
      <c r="D172" s="183">
        <f>D158/1000000</f>
        <v>18.00515</v>
      </c>
      <c r="E172" s="50">
        <f>(D172-C172)/C172</f>
        <v>6.8745557812865718E-2</v>
      </c>
      <c r="F172" s="143">
        <f>D172-C172</f>
        <v>1.1581560000000017</v>
      </c>
    </row>
    <row r="173" spans="2:6">
      <c r="B173" s="135"/>
      <c r="C173" s="186"/>
      <c r="D173" s="186"/>
      <c r="E173" s="56"/>
      <c r="F173" s="149"/>
    </row>
    <row r="174" spans="2:6">
      <c r="B174" s="60" t="s">
        <v>96</v>
      </c>
      <c r="C174" s="185">
        <f>C170+C172</f>
        <v>2757.346994</v>
      </c>
      <c r="D174" s="185">
        <f>D170+D172</f>
        <v>2891.112873</v>
      </c>
      <c r="E174" s="51">
        <f>(D174-C174)/C174</f>
        <v>4.8512530084561439E-2</v>
      </c>
      <c r="F174" s="148">
        <f>F170+F172</f>
        <v>133.76587899999998</v>
      </c>
    </row>
    <row r="177" spans="1:11" s="57" customFormat="1">
      <c r="A177" s="36"/>
      <c r="C177" s="36"/>
      <c r="E177" s="36"/>
      <c r="F177" s="36"/>
      <c r="G177" s="36"/>
      <c r="K177" s="36"/>
    </row>
    <row r="178" spans="1:11" s="57" customFormat="1">
      <c r="A178" s="36"/>
      <c r="B178" s="207"/>
      <c r="C178" s="208"/>
      <c r="D178" s="208"/>
      <c r="E178" s="36"/>
      <c r="F178" s="36"/>
      <c r="G178" s="36"/>
      <c r="K178" s="36"/>
    </row>
    <row r="179" spans="1:11" s="57" customFormat="1">
      <c r="A179" s="36"/>
      <c r="B179" s="203"/>
      <c r="C179" s="62"/>
      <c r="D179" s="204"/>
      <c r="E179" s="36"/>
      <c r="F179" s="36"/>
      <c r="G179" s="36"/>
      <c r="K179" s="36"/>
    </row>
    <row r="180" spans="1:11" s="57" customFormat="1">
      <c r="A180" s="36"/>
      <c r="B180" s="205"/>
      <c r="C180" s="62"/>
      <c r="D180" s="204"/>
      <c r="E180" s="36"/>
      <c r="F180" s="36"/>
      <c r="G180" s="36"/>
      <c r="K180" s="36"/>
    </row>
    <row r="181" spans="1:11" s="57" customFormat="1">
      <c r="A181" s="36"/>
      <c r="B181" s="203"/>
      <c r="C181" s="62"/>
      <c r="D181" s="208"/>
      <c r="E181" s="36"/>
      <c r="F181" s="36"/>
      <c r="G181" s="36"/>
      <c r="K181" s="36"/>
    </row>
    <row r="182" spans="1:11" s="57" customFormat="1">
      <c r="A182" s="36"/>
      <c r="B182" s="203"/>
      <c r="C182" s="62"/>
      <c r="D182" s="62"/>
      <c r="E182" s="36"/>
      <c r="F182" s="36"/>
      <c r="G182" s="36"/>
      <c r="K182" s="36"/>
    </row>
    <row r="183" spans="1:11" s="57" customFormat="1">
      <c r="A183" s="36"/>
      <c r="B183" s="203"/>
      <c r="C183" s="62"/>
      <c r="D183" s="204"/>
      <c r="E183" s="36"/>
      <c r="F183" s="36"/>
      <c r="G183" s="36"/>
      <c r="K183" s="36"/>
    </row>
    <row r="184" spans="1:11" s="57" customFormat="1">
      <c r="A184" s="36"/>
      <c r="B184" s="207"/>
      <c r="C184" s="62"/>
      <c r="D184" s="62"/>
      <c r="E184" s="36"/>
      <c r="F184" s="36"/>
      <c r="G184" s="36"/>
      <c r="K184" s="36"/>
    </row>
    <row r="185" spans="1:11" s="57" customFormat="1">
      <c r="A185" s="36"/>
      <c r="B185" s="205"/>
      <c r="C185" s="62"/>
      <c r="D185" s="62"/>
      <c r="E185" s="36"/>
      <c r="F185" s="36"/>
      <c r="G185" s="36"/>
      <c r="K185" s="36"/>
    </row>
    <row r="186" spans="1:11" s="57" customFormat="1">
      <c r="A186" s="36"/>
      <c r="B186" s="205"/>
      <c r="C186" s="62"/>
      <c r="D186" s="206"/>
      <c r="E186" s="36"/>
      <c r="F186" s="36"/>
      <c r="G186" s="36"/>
      <c r="K186" s="36"/>
    </row>
    <row r="187" spans="1:11" s="57" customFormat="1">
      <c r="A187" s="36"/>
      <c r="B187" s="205"/>
      <c r="C187" s="62"/>
      <c r="D187" s="62"/>
      <c r="E187" s="36"/>
      <c r="F187" s="36"/>
      <c r="G187" s="36"/>
      <c r="K187" s="36"/>
    </row>
    <row r="188" spans="1:11" s="57" customFormat="1">
      <c r="A188" s="36"/>
      <c r="B188" s="205"/>
      <c r="C188" s="36"/>
      <c r="D188" s="127"/>
      <c r="E188" s="36"/>
      <c r="F188" s="36"/>
      <c r="G188" s="36"/>
      <c r="K188" s="36"/>
    </row>
    <row r="189" spans="1:11" s="57" customFormat="1">
      <c r="A189" s="36"/>
      <c r="B189" s="205"/>
      <c r="C189" s="36"/>
      <c r="E189" s="36"/>
      <c r="F189" s="36"/>
      <c r="G189" s="36"/>
      <c r="K189" s="36"/>
    </row>
    <row r="190" spans="1:11" s="57" customFormat="1">
      <c r="A190" s="36"/>
      <c r="B190" s="205"/>
      <c r="C190" s="36"/>
      <c r="D190" s="208"/>
      <c r="E190" s="36"/>
      <c r="F190" s="36"/>
      <c r="G190" s="36"/>
      <c r="K190" s="36"/>
    </row>
    <row r="191" spans="1:11" s="57" customFormat="1">
      <c r="A191" s="36"/>
      <c r="B191" s="205"/>
      <c r="C191" s="36"/>
      <c r="E191" s="36"/>
      <c r="F191" s="36"/>
      <c r="G191" s="36"/>
      <c r="K191" s="36"/>
    </row>
    <row r="192" spans="1:11" s="57" customFormat="1">
      <c r="A192" s="36"/>
      <c r="B192" s="44"/>
      <c r="C192" s="36"/>
      <c r="E192" s="36"/>
      <c r="F192" s="36"/>
      <c r="G192" s="36"/>
      <c r="K192" s="36"/>
    </row>
    <row r="193" spans="1:11" s="57" customFormat="1">
      <c r="A193" s="36"/>
      <c r="B193" s="44"/>
      <c r="C193" s="36"/>
      <c r="E193" s="36"/>
      <c r="F193" s="36"/>
      <c r="G193" s="36"/>
      <c r="K193" s="36"/>
    </row>
    <row r="194" spans="1:11" s="57" customFormat="1">
      <c r="A194" s="36"/>
      <c r="B194" s="44"/>
      <c r="C194" s="36"/>
      <c r="E194" s="36"/>
      <c r="F194" s="36"/>
      <c r="G194" s="36"/>
      <c r="K194" s="36"/>
    </row>
    <row r="195" spans="1:11" s="57" customFormat="1">
      <c r="A195" s="36"/>
      <c r="B195" s="44"/>
      <c r="C195" s="36"/>
      <c r="E195" s="36"/>
      <c r="F195" s="36"/>
      <c r="G195" s="36"/>
      <c r="K195" s="36"/>
    </row>
    <row r="196" spans="1:11" s="57" customFormat="1">
      <c r="A196" s="36"/>
      <c r="B196" s="44"/>
      <c r="C196" s="36"/>
      <c r="E196" s="36"/>
      <c r="F196" s="36"/>
      <c r="G196" s="36"/>
      <c r="K196" s="36"/>
    </row>
    <row r="197" spans="1:11" s="57" customFormat="1">
      <c r="A197" s="36"/>
      <c r="B197" s="44"/>
      <c r="C197" s="36"/>
      <c r="E197" s="36"/>
      <c r="F197" s="36"/>
      <c r="G197" s="36"/>
      <c r="K197" s="36"/>
    </row>
    <row r="198" spans="1:11" s="57" customFormat="1">
      <c r="A198" s="36"/>
      <c r="B198" s="44"/>
      <c r="C198" s="36"/>
      <c r="E198" s="36"/>
      <c r="F198" s="36"/>
      <c r="G198" s="36"/>
      <c r="K198" s="36"/>
    </row>
    <row r="199" spans="1:11" s="57" customFormat="1">
      <c r="A199" s="36"/>
      <c r="B199" s="44"/>
      <c r="C199" s="36"/>
      <c r="E199" s="36"/>
      <c r="F199" s="36"/>
      <c r="G199" s="36"/>
      <c r="K199" s="36"/>
    </row>
    <row r="200" spans="1:11" s="57" customFormat="1">
      <c r="A200" s="36"/>
      <c r="B200" s="44"/>
      <c r="C200" s="36"/>
      <c r="E200" s="36"/>
      <c r="F200" s="36"/>
      <c r="G200" s="36"/>
      <c r="K200" s="36"/>
    </row>
    <row r="201" spans="1:11" s="57" customFormat="1">
      <c r="A201" s="36"/>
      <c r="B201" s="44"/>
      <c r="C201" s="36"/>
      <c r="E201" s="36"/>
      <c r="F201" s="36"/>
      <c r="G201" s="36"/>
      <c r="K201" s="36"/>
    </row>
    <row r="202" spans="1:11" s="57" customFormat="1">
      <c r="A202" s="36"/>
      <c r="B202" s="44"/>
      <c r="C202" s="36"/>
      <c r="E202" s="36"/>
      <c r="F202" s="36"/>
      <c r="G202" s="36"/>
      <c r="K202" s="36"/>
    </row>
    <row r="203" spans="1:11" s="57" customFormat="1">
      <c r="A203" s="36"/>
      <c r="B203" s="44"/>
      <c r="C203" s="36"/>
      <c r="E203" s="36"/>
      <c r="F203" s="36"/>
      <c r="G203" s="36"/>
      <c r="K203" s="36"/>
    </row>
    <row r="204" spans="1:11" s="57" customFormat="1">
      <c r="A204" s="36"/>
      <c r="B204" s="47"/>
      <c r="C204" s="36"/>
      <c r="E204" s="36"/>
      <c r="F204" s="36"/>
      <c r="G204" s="36"/>
      <c r="K204" s="36"/>
    </row>
  </sheetData>
  <mergeCells count="7">
    <mergeCell ref="A103:B103"/>
    <mergeCell ref="A127:B127"/>
    <mergeCell ref="A29:B29"/>
    <mergeCell ref="A7:B7"/>
    <mergeCell ref="A51:B51"/>
    <mergeCell ref="A72:B72"/>
    <mergeCell ref="A89:B89"/>
  </mergeCells>
  <conditionalFormatting sqref="D121">
    <cfRule type="cellIs" dxfId="3" priority="12" operator="lessThan">
      <formula>0</formula>
    </cfRule>
  </conditionalFormatting>
  <conditionalFormatting sqref="D143">
    <cfRule type="cellIs" dxfId="2" priority="13" operator="lessThan">
      <formula>0</formula>
    </cfRule>
  </conditionalFormatting>
  <conditionalFormatting sqref="D145">
    <cfRule type="cellIs" dxfId="1" priority="57" operator="lessThan">
      <formula>0</formula>
    </cfRule>
  </conditionalFormatting>
  <printOptions horizontalCentered="1"/>
  <pageMargins left="0" right="0" top="0.17" bottom="0.17" header="0.38" footer="0.17"/>
  <pageSetup scale="78" fitToHeight="0" orientation="portrait" horizontalDpi="1200" verticalDpi="1200" r:id="rId1"/>
  <headerFooter alignWithMargins="0">
    <oddFooter>&amp;L&amp;9Planning and Accountability&amp;10
&amp;C&amp;9&amp;P&amp;R&amp;9&amp;D</oddFooter>
  </headerFooter>
  <rowBreaks count="5" manualBreakCount="5">
    <brk id="45" max="7" man="1"/>
    <brk id="88" max="7" man="1"/>
    <brk id="125" max="7" man="1"/>
    <brk id="147" max="7" man="1"/>
    <brk id="174" max="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3A70-6395-44E8-9781-430150F9AD90}">
  <sheetPr>
    <tabColor theme="5" tint="0.79998168889431442"/>
  </sheetPr>
  <dimension ref="A1:X159"/>
  <sheetViews>
    <sheetView showGridLines="0" zoomScale="80" zoomScaleNormal="80" workbookViewId="0"/>
  </sheetViews>
  <sheetFormatPr defaultColWidth="9.109375" defaultRowHeight="13.2"/>
  <cols>
    <col min="1" max="1" width="30.33203125" style="447" customWidth="1"/>
    <col min="2" max="2" width="12.6640625" style="447" customWidth="1"/>
    <col min="3" max="3" width="16.88671875" style="447" customWidth="1"/>
    <col min="4" max="4" width="17.109375" style="447" customWidth="1"/>
    <col min="5" max="5" width="18.109375" style="447" customWidth="1"/>
    <col min="6" max="6" width="17" style="447" customWidth="1"/>
    <col min="7" max="7" width="15.33203125" style="447" customWidth="1"/>
    <col min="8" max="8" width="14.6640625" style="447" customWidth="1"/>
    <col min="9" max="9" width="17.44140625" style="447" customWidth="1"/>
    <col min="10" max="10" width="17.6640625" style="447" customWidth="1"/>
    <col min="11" max="16" width="17.109375" style="447" customWidth="1"/>
    <col min="17" max="17" width="18.88671875" style="447" customWidth="1"/>
    <col min="18" max="18" width="15.109375" style="447" customWidth="1"/>
    <col min="19" max="19" width="27.5546875" style="447" customWidth="1"/>
    <col min="20" max="20" width="19.5546875" style="447" customWidth="1"/>
    <col min="21" max="21" width="3.88671875" style="447" customWidth="1"/>
    <col min="22" max="22" width="4.44140625" style="447" customWidth="1"/>
    <col min="23" max="23" width="16.33203125" style="447" customWidth="1"/>
    <col min="24" max="16384" width="9.109375" style="447"/>
  </cols>
  <sheetData>
    <row r="1" spans="1:17" ht="15.6">
      <c r="A1" s="447" t="s">
        <v>110</v>
      </c>
      <c r="G1" s="448" t="s">
        <v>0</v>
      </c>
    </row>
    <row r="2" spans="1:17" ht="30">
      <c r="A2" s="449"/>
      <c r="B2" s="450"/>
      <c r="C2" s="450"/>
      <c r="D2" s="448"/>
      <c r="G2" s="451" t="s">
        <v>232</v>
      </c>
    </row>
    <row r="3" spans="1:17" ht="15.6">
      <c r="D3" s="452"/>
      <c r="G3" s="453">
        <f ca="1">TODAY()</f>
        <v>45163</v>
      </c>
    </row>
    <row r="5" spans="1:17">
      <c r="K5" s="454"/>
      <c r="L5" s="454"/>
      <c r="M5" s="454"/>
      <c r="N5" s="454"/>
      <c r="O5" s="454"/>
      <c r="P5" s="454"/>
      <c r="Q5" s="454"/>
    </row>
    <row r="6" spans="1:17">
      <c r="K6" s="454"/>
      <c r="L6" s="454"/>
      <c r="M6" s="454"/>
      <c r="N6" s="454"/>
      <c r="O6" s="454"/>
      <c r="P6" s="454"/>
      <c r="Q6" s="454"/>
    </row>
    <row r="7" spans="1:17" ht="60">
      <c r="A7" s="455" t="s">
        <v>233</v>
      </c>
      <c r="B7" s="456" t="s">
        <v>234</v>
      </c>
      <c r="C7" s="456" t="s">
        <v>235</v>
      </c>
      <c r="D7" s="456" t="s">
        <v>236</v>
      </c>
      <c r="E7" s="456" t="s">
        <v>237</v>
      </c>
      <c r="F7" s="457"/>
      <c r="G7" s="458"/>
      <c r="H7" s="456" t="s">
        <v>238</v>
      </c>
      <c r="I7" s="456" t="s">
        <v>239</v>
      </c>
      <c r="K7" s="459"/>
      <c r="L7" s="459"/>
      <c r="M7" s="459"/>
      <c r="N7" s="459"/>
      <c r="O7" s="459"/>
      <c r="P7" s="459"/>
      <c r="Q7" s="459"/>
    </row>
    <row r="8" spans="1:17" ht="15">
      <c r="A8" s="460" t="s">
        <v>240</v>
      </c>
      <c r="B8" s="461">
        <f>'I&amp;O Calc'!F292</f>
        <v>1130.97</v>
      </c>
      <c r="C8" s="461">
        <f>'I&amp;O Calc'!G292</f>
        <v>0</v>
      </c>
      <c r="D8" s="461">
        <f>'I&amp;O Calc'!H292</f>
        <v>0</v>
      </c>
      <c r="E8" s="461">
        <f>'I&amp;O Calc'!I292</f>
        <v>4393.46</v>
      </c>
      <c r="F8" s="462"/>
      <c r="G8" s="462"/>
      <c r="H8" s="461">
        <f>'I&amp;O Calc'!L292</f>
        <v>1074.72</v>
      </c>
      <c r="I8" s="461">
        <f>'I&amp;O Calc'!M292</f>
        <v>6599.14</v>
      </c>
      <c r="K8" s="463"/>
      <c r="L8" s="463"/>
      <c r="M8" s="463"/>
      <c r="N8" s="463"/>
      <c r="O8" s="463"/>
      <c r="P8" s="463"/>
      <c r="Q8" s="463"/>
    </row>
    <row r="9" spans="1:17" ht="15">
      <c r="A9" s="460" t="s">
        <v>241</v>
      </c>
      <c r="B9" s="461">
        <f>'I&amp;O Calc'!F293</f>
        <v>10.43</v>
      </c>
      <c r="C9" s="461">
        <f>'I&amp;O Calc'!G293</f>
        <v>0</v>
      </c>
      <c r="D9" s="461">
        <f>'I&amp;O Calc'!H293</f>
        <v>0</v>
      </c>
      <c r="E9" s="461">
        <f>'I&amp;O Calc'!I293</f>
        <v>1109.79</v>
      </c>
      <c r="F9" s="462"/>
      <c r="G9" s="462"/>
      <c r="H9" s="461">
        <f>'I&amp;O Calc'!L293</f>
        <v>1845.11</v>
      </c>
      <c r="I9" s="461">
        <f>'I&amp;O Calc'!M293</f>
        <v>2965.3300000000004</v>
      </c>
      <c r="K9" s="463"/>
      <c r="L9" s="463"/>
      <c r="M9" s="463"/>
      <c r="N9" s="463"/>
      <c r="O9" s="463"/>
      <c r="P9" s="463"/>
      <c r="Q9" s="463"/>
    </row>
    <row r="10" spans="1:17" ht="15">
      <c r="A10" s="464" t="s">
        <v>242</v>
      </c>
      <c r="B10" s="461">
        <f>'I&amp;O Calc'!F294</f>
        <v>0</v>
      </c>
      <c r="C10" s="461">
        <f>'I&amp;O Calc'!G294</f>
        <v>0</v>
      </c>
      <c r="D10" s="461">
        <f>'I&amp;O Calc'!H294</f>
        <v>0</v>
      </c>
      <c r="E10" s="461">
        <f>'I&amp;O Calc'!I294</f>
        <v>154.66999999999999</v>
      </c>
      <c r="F10" s="462"/>
      <c r="G10" s="462"/>
      <c r="H10" s="461">
        <f>'I&amp;O Calc'!L294</f>
        <v>53.44</v>
      </c>
      <c r="I10" s="461">
        <f>'I&amp;O Calc'!M294</f>
        <v>208.11</v>
      </c>
      <c r="K10" s="463"/>
      <c r="L10" s="463"/>
      <c r="M10" s="463"/>
      <c r="N10" s="463"/>
      <c r="O10" s="463"/>
      <c r="P10" s="463"/>
      <c r="Q10" s="463"/>
    </row>
    <row r="11" spans="1:17" ht="15">
      <c r="A11" s="460" t="s">
        <v>243</v>
      </c>
      <c r="B11" s="461">
        <f>'I&amp;O Calc'!F295</f>
        <v>4334.2</v>
      </c>
      <c r="C11" s="461">
        <f>'I&amp;O Calc'!G295</f>
        <v>0</v>
      </c>
      <c r="D11" s="461">
        <f>'I&amp;O Calc'!H295</f>
        <v>0</v>
      </c>
      <c r="E11" s="461">
        <f>'I&amp;O Calc'!I295</f>
        <v>1063.08</v>
      </c>
      <c r="F11" s="461"/>
      <c r="G11" s="461"/>
      <c r="H11" s="461">
        <f>'I&amp;O Calc'!L295</f>
        <v>901.5</v>
      </c>
      <c r="I11" s="461">
        <f>'I&amp;O Calc'!M295</f>
        <v>6298.7899999999991</v>
      </c>
      <c r="K11" s="454"/>
      <c r="L11" s="454"/>
      <c r="M11" s="454"/>
      <c r="N11" s="454"/>
      <c r="O11" s="454"/>
      <c r="P11" s="454"/>
      <c r="Q11" s="454"/>
    </row>
    <row r="12" spans="1:17" ht="15">
      <c r="A12" s="460" t="s">
        <v>244</v>
      </c>
      <c r="B12" s="461">
        <f>'I&amp;O Calc'!F296</f>
        <v>0</v>
      </c>
      <c r="C12" s="461">
        <f>'I&amp;O Calc'!G296</f>
        <v>0</v>
      </c>
      <c r="D12" s="461">
        <f>'I&amp;O Calc'!H296</f>
        <v>0</v>
      </c>
      <c r="E12" s="461">
        <f>'I&amp;O Calc'!I296</f>
        <v>2022.75</v>
      </c>
      <c r="F12" s="462"/>
      <c r="G12" s="462"/>
      <c r="H12" s="461">
        <f>'I&amp;O Calc'!L296</f>
        <v>0</v>
      </c>
      <c r="I12" s="461">
        <f>'I&amp;O Calc'!M296</f>
        <v>2022.77</v>
      </c>
      <c r="K12" s="454"/>
      <c r="L12" s="454"/>
      <c r="M12" s="454"/>
      <c r="N12" s="454"/>
      <c r="O12" s="454"/>
      <c r="P12" s="454"/>
      <c r="Q12" s="454"/>
    </row>
    <row r="13" spans="1:17" ht="15">
      <c r="A13" s="460" t="s">
        <v>245</v>
      </c>
      <c r="B13" s="461">
        <f>'I&amp;O Calc'!F297</f>
        <v>521.79999999999995</v>
      </c>
      <c r="C13" s="461">
        <f>'I&amp;O Calc'!G297</f>
        <v>0</v>
      </c>
      <c r="D13" s="461">
        <f>'I&amp;O Calc'!H297</f>
        <v>0</v>
      </c>
      <c r="E13" s="461">
        <f>'I&amp;O Calc'!I297</f>
        <v>1581.54</v>
      </c>
      <c r="F13" s="462"/>
      <c r="G13" s="462"/>
      <c r="H13" s="461">
        <f>'I&amp;O Calc'!L297</f>
        <v>561</v>
      </c>
      <c r="I13" s="461">
        <f>'I&amp;O Calc'!M297</f>
        <v>2664.36</v>
      </c>
      <c r="K13" s="465"/>
      <c r="L13" s="465"/>
      <c r="M13" s="465"/>
      <c r="N13" s="465"/>
      <c r="O13" s="465"/>
      <c r="P13" s="465"/>
    </row>
    <row r="14" spans="1:17" ht="15">
      <c r="A14" s="460" t="s">
        <v>246</v>
      </c>
      <c r="B14" s="461">
        <f>'I&amp;O Calc'!F298</f>
        <v>0</v>
      </c>
      <c r="C14" s="461">
        <f>'I&amp;O Calc'!G298</f>
        <v>1355</v>
      </c>
      <c r="D14" s="461">
        <f>'I&amp;O Calc'!H298</f>
        <v>293</v>
      </c>
      <c r="E14" s="461">
        <f>'I&amp;O Calc'!I298</f>
        <v>0</v>
      </c>
      <c r="F14" s="462"/>
      <c r="G14" s="462"/>
      <c r="H14" s="461">
        <f>'I&amp;O Calc'!L298</f>
        <v>0</v>
      </c>
      <c r="I14" s="461">
        <f>'I&amp;O Calc'!M298</f>
        <v>1648</v>
      </c>
    </row>
    <row r="15" spans="1:17" ht="15">
      <c r="A15" s="460" t="s">
        <v>247</v>
      </c>
      <c r="B15" s="461">
        <f>'I&amp;O Calc'!F299</f>
        <v>0</v>
      </c>
      <c r="C15" s="461">
        <f>'I&amp;O Calc'!G299</f>
        <v>7391</v>
      </c>
      <c r="D15" s="461">
        <f>'I&amp;O Calc'!H299</f>
        <v>0</v>
      </c>
      <c r="E15" s="461">
        <f>'I&amp;O Calc'!I299</f>
        <v>0</v>
      </c>
      <c r="F15" s="462"/>
      <c r="G15" s="462"/>
      <c r="H15" s="461">
        <f>'I&amp;O Calc'!L299</f>
        <v>0</v>
      </c>
      <c r="I15" s="461">
        <f>'I&amp;O Calc'!M299</f>
        <v>7391</v>
      </c>
      <c r="Q15" s="465"/>
    </row>
    <row r="16" spans="1:17" ht="15">
      <c r="A16" s="460" t="s">
        <v>248</v>
      </c>
      <c r="B16" s="461">
        <v>0</v>
      </c>
      <c r="C16" s="461">
        <f>'I&amp;O Calc'!G300</f>
        <v>27</v>
      </c>
      <c r="D16" s="461">
        <v>0</v>
      </c>
      <c r="E16" s="461">
        <v>0</v>
      </c>
      <c r="F16" s="462"/>
      <c r="G16" s="462"/>
      <c r="H16" s="461">
        <v>0</v>
      </c>
      <c r="I16" s="461">
        <f>'I&amp;O Calc'!M300</f>
        <v>27</v>
      </c>
      <c r="Q16" s="465"/>
    </row>
    <row r="17" spans="1:24" ht="15.6">
      <c r="A17" s="466" t="s">
        <v>249</v>
      </c>
      <c r="B17" s="467">
        <f>SUM(B8:B16)</f>
        <v>5997.4000000000005</v>
      </c>
      <c r="C17" s="467">
        <f>SUM(C8:C16)</f>
        <v>8773</v>
      </c>
      <c r="D17" s="467">
        <f>SUM(D8:D16)</f>
        <v>293</v>
      </c>
      <c r="E17" s="467">
        <f t="shared" ref="E17:H17" si="0">SUM(E8:E16)</f>
        <v>10325.290000000001</v>
      </c>
      <c r="F17" s="467"/>
      <c r="G17" s="467"/>
      <c r="H17" s="467">
        <f t="shared" si="0"/>
        <v>4435.7700000000004</v>
      </c>
      <c r="I17" s="467">
        <f>SUM(I8:I16)</f>
        <v>29824.5</v>
      </c>
    </row>
    <row r="18" spans="1:24">
      <c r="I18" s="468" t="str">
        <f>IF(I17&lt;&gt;Q32,"Error","")</f>
        <v/>
      </c>
    </row>
    <row r="20" spans="1:24" ht="15.6">
      <c r="A20" s="469" t="str">
        <f>'I&amp;O Calc'!$A$2</f>
        <v>FTSE Count -  State-Funded - Certified Summer 2022 and Fall 2022; Spring 2023 - No Errors</v>
      </c>
      <c r="I20" s="470">
        <f>I17-Q32</f>
        <v>0</v>
      </c>
    </row>
    <row r="21" spans="1:24" ht="15.6">
      <c r="A21" s="471"/>
    </row>
    <row r="22" spans="1:24" ht="99.75" customHeight="1">
      <c r="A22" s="472" t="s">
        <v>250</v>
      </c>
      <c r="B22" s="456" t="s">
        <v>251</v>
      </c>
      <c r="C22" s="473" t="s">
        <v>252</v>
      </c>
      <c r="D22" s="473" t="s">
        <v>253</v>
      </c>
      <c r="E22" s="474" t="s">
        <v>254</v>
      </c>
      <c r="F22" s="473" t="s">
        <v>255</v>
      </c>
      <c r="G22" s="473" t="s">
        <v>256</v>
      </c>
      <c r="H22" s="473" t="s">
        <v>257</v>
      </c>
      <c r="I22" s="473" t="s">
        <v>258</v>
      </c>
      <c r="J22" s="473" t="s">
        <v>259</v>
      </c>
      <c r="K22" s="473" t="s">
        <v>260</v>
      </c>
      <c r="L22" s="473" t="s">
        <v>261</v>
      </c>
      <c r="M22" s="473" t="s">
        <v>262</v>
      </c>
      <c r="N22" s="473" t="s">
        <v>263</v>
      </c>
      <c r="O22" s="473" t="s">
        <v>264</v>
      </c>
      <c r="P22" s="473" t="s">
        <v>814</v>
      </c>
      <c r="Q22" s="475" t="s">
        <v>265</v>
      </c>
      <c r="R22" s="476" t="s">
        <v>266</v>
      </c>
    </row>
    <row r="23" spans="1:24" ht="15.6">
      <c r="A23" s="477" t="s">
        <v>240</v>
      </c>
      <c r="B23" s="478">
        <v>1</v>
      </c>
      <c r="C23" s="479">
        <f>'I&amp;O Calc'!$M$12</f>
        <v>525.42999999999995</v>
      </c>
      <c r="D23" s="479">
        <f>'I&amp;O Calc'!$M$19</f>
        <v>1380.61</v>
      </c>
      <c r="E23" s="479">
        <f>'I&amp;O Calc'!$M$34</f>
        <v>66.47</v>
      </c>
      <c r="F23" s="479">
        <f>'I&amp;O Calc'!$M$69</f>
        <v>1514.3200000000002</v>
      </c>
      <c r="G23" s="479">
        <f>'I&amp;O Calc'!$M$78</f>
        <v>389.82</v>
      </c>
      <c r="H23" s="480"/>
      <c r="I23" s="479">
        <f>'I&amp;O Calc'!$M$107</f>
        <v>65.83</v>
      </c>
      <c r="J23" s="479">
        <f>'I&amp;O Calc'!$M$132</f>
        <v>579.04</v>
      </c>
      <c r="K23" s="479">
        <f>'I&amp;O Calc'!$M$154</f>
        <v>2077.62</v>
      </c>
      <c r="L23" s="480"/>
      <c r="M23" s="480"/>
      <c r="N23" s="480"/>
      <c r="O23" s="480"/>
      <c r="P23" s="480"/>
      <c r="Q23" s="481">
        <f>SUM(C23:O23)</f>
        <v>6599.14</v>
      </c>
      <c r="R23" s="482">
        <f>COUNTA(C23:O23)</f>
        <v>8</v>
      </c>
      <c r="S23" s="470">
        <f>'I&amp;O Calc'!$M$292</f>
        <v>6599.14</v>
      </c>
      <c r="T23" s="470">
        <f t="shared" ref="T23:T25" si="1">S23-Q23</f>
        <v>0</v>
      </c>
    </row>
    <row r="24" spans="1:24" ht="20.25" customHeight="1">
      <c r="A24" s="483" t="s">
        <v>241</v>
      </c>
      <c r="B24" s="484">
        <v>1.018</v>
      </c>
      <c r="C24" s="479">
        <f>'I&amp;O Calc'!$M$11</f>
        <v>804.43</v>
      </c>
      <c r="D24" s="479">
        <f>'I&amp;O Calc'!$M$18</f>
        <v>262.47000000000003</v>
      </c>
      <c r="E24" s="479">
        <f>'I&amp;O Calc'!$M$32</f>
        <v>552.23</v>
      </c>
      <c r="F24" s="479">
        <f>'I&amp;O Calc'!$M$61</f>
        <v>320.93</v>
      </c>
      <c r="G24" s="480"/>
      <c r="H24" s="479">
        <f>'I&amp;O Calc'!$M$83</f>
        <v>18.29</v>
      </c>
      <c r="I24" s="479">
        <f>'I&amp;O Calc'!$M$105</f>
        <v>177.55</v>
      </c>
      <c r="J24" s="479">
        <f>'I&amp;O Calc'!$M$131</f>
        <v>623.70000000000005</v>
      </c>
      <c r="K24" s="479">
        <f>'I&amp;O Calc'!$M$148</f>
        <v>171.59999999999997</v>
      </c>
      <c r="L24" s="479">
        <f>'I&amp;O Calc'!$M$185</f>
        <v>34.130000000000003</v>
      </c>
      <c r="M24" s="480"/>
      <c r="N24" s="480"/>
      <c r="O24" s="480"/>
      <c r="P24" s="480"/>
      <c r="Q24" s="481">
        <f t="shared" ref="Q24:Q29" si="2">SUM(C24:O24)</f>
        <v>2965.3300000000004</v>
      </c>
      <c r="R24" s="482">
        <f t="shared" ref="R24:R28" si="3">COUNTA(C24:O24)</f>
        <v>9</v>
      </c>
      <c r="S24" s="470">
        <f>'I&amp;O Calc'!$M$293</f>
        <v>2965.3300000000004</v>
      </c>
      <c r="T24" s="470">
        <f t="shared" si="1"/>
        <v>0</v>
      </c>
      <c r="X24" s="470"/>
    </row>
    <row r="25" spans="1:24" ht="20.25" customHeight="1">
      <c r="A25" s="483" t="s">
        <v>242</v>
      </c>
      <c r="B25" s="484">
        <v>1.75</v>
      </c>
      <c r="C25" s="480"/>
      <c r="D25" s="480"/>
      <c r="E25" s="479">
        <f>'I&amp;O Calc'!M37+'I&amp;O Calc'!M36</f>
        <v>208.11</v>
      </c>
      <c r="F25" s="480"/>
      <c r="G25" s="480"/>
      <c r="H25" s="480"/>
      <c r="I25" s="480"/>
      <c r="J25" s="480"/>
      <c r="K25" s="480"/>
      <c r="L25" s="480"/>
      <c r="M25" s="480"/>
      <c r="N25" s="480"/>
      <c r="O25" s="480"/>
      <c r="P25" s="480"/>
      <c r="Q25" s="481">
        <f t="shared" si="2"/>
        <v>208.11</v>
      </c>
      <c r="R25" s="482">
        <f t="shared" si="3"/>
        <v>1</v>
      </c>
      <c r="S25" s="470">
        <f>'I&amp;O Calc'!$M$294</f>
        <v>208.11</v>
      </c>
      <c r="T25" s="470">
        <f t="shared" si="1"/>
        <v>0</v>
      </c>
      <c r="X25" s="470"/>
    </row>
    <row r="26" spans="1:24" ht="18" customHeight="1">
      <c r="A26" s="483" t="s">
        <v>243</v>
      </c>
      <c r="B26" s="484">
        <v>1.1379999999999999</v>
      </c>
      <c r="C26" s="480"/>
      <c r="D26" s="479">
        <f>'I&amp;O Calc'!$M$20</f>
        <v>1084.8599999999999</v>
      </c>
      <c r="E26" s="479">
        <f>'I&amp;O Calc'!$M$41</f>
        <v>1371.11</v>
      </c>
      <c r="F26" s="479">
        <f>'I&amp;O Calc'!$M$71+'I&amp;O Calc'!M72</f>
        <v>872.19</v>
      </c>
      <c r="G26" s="480"/>
      <c r="H26" s="480"/>
      <c r="I26" s="479">
        <f>'I&amp;O Calc'!$M$112</f>
        <v>532.82000000000005</v>
      </c>
      <c r="J26" s="480"/>
      <c r="K26" s="479">
        <f>'I&amp;O Calc'!$M$165</f>
        <v>2114.16</v>
      </c>
      <c r="L26" s="479">
        <f>'I&amp;O Calc'!$M$191</f>
        <v>323.64999999999998</v>
      </c>
      <c r="M26" s="480"/>
      <c r="N26" s="480"/>
      <c r="O26" s="480"/>
      <c r="P26" s="480"/>
      <c r="Q26" s="481">
        <f t="shared" si="2"/>
        <v>6298.7899999999991</v>
      </c>
      <c r="R26" s="482">
        <f t="shared" si="3"/>
        <v>6</v>
      </c>
      <c r="S26" s="470">
        <f>'I&amp;O Calc'!$M$295</f>
        <v>6298.7899999999991</v>
      </c>
      <c r="T26" s="470">
        <f>S26-Q26</f>
        <v>0</v>
      </c>
      <c r="X26" s="470"/>
    </row>
    <row r="27" spans="1:24" ht="17.25" customHeight="1">
      <c r="A27" s="483" t="s">
        <v>244</v>
      </c>
      <c r="B27" s="484">
        <v>1.67</v>
      </c>
      <c r="C27" s="480"/>
      <c r="D27" s="480"/>
      <c r="E27" s="480"/>
      <c r="F27" s="480"/>
      <c r="G27" s="480"/>
      <c r="H27" s="480"/>
      <c r="I27" s="479">
        <f>'I&amp;O Calc'!$M$116</f>
        <v>711.3</v>
      </c>
      <c r="J27" s="479">
        <f>'I&amp;O Calc'!$M$134</f>
        <v>520.41999999999996</v>
      </c>
      <c r="K27" s="479">
        <f>'I&amp;O Calc'!$M$171</f>
        <v>791.05</v>
      </c>
      <c r="L27" s="480"/>
      <c r="M27" s="480"/>
      <c r="N27" s="480"/>
      <c r="O27" s="480"/>
      <c r="P27" s="480"/>
      <c r="Q27" s="481">
        <f t="shared" si="2"/>
        <v>2022.7699999999998</v>
      </c>
      <c r="R27" s="482">
        <f t="shared" si="3"/>
        <v>3</v>
      </c>
      <c r="S27" s="470">
        <f>'I&amp;O Calc'!$M$296</f>
        <v>2022.77</v>
      </c>
      <c r="T27" s="470">
        <f t="shared" ref="T27:T30" si="4">S27-Q27</f>
        <v>0</v>
      </c>
      <c r="X27" s="470"/>
    </row>
    <row r="28" spans="1:24" ht="19.5" customHeight="1">
      <c r="A28" s="483" t="s">
        <v>245</v>
      </c>
      <c r="B28" s="484">
        <v>1.7210000000000001</v>
      </c>
      <c r="C28" s="480"/>
      <c r="D28" s="479">
        <f>'I&amp;O Calc'!$M$21</f>
        <v>71.53</v>
      </c>
      <c r="E28" s="479">
        <f>'I&amp;O Calc'!$M$49</f>
        <v>1294.8700000000001</v>
      </c>
      <c r="F28" s="480"/>
      <c r="G28" s="480"/>
      <c r="H28" s="479">
        <f>'I&amp;O Calc'!$M$84</f>
        <v>59.79</v>
      </c>
      <c r="I28" s="479">
        <f>'I&amp;O Calc'!$M$126</f>
        <v>938.5200000000001</v>
      </c>
      <c r="J28" s="479">
        <f>'I&amp;O Calc'!$M$133</f>
        <v>164.1</v>
      </c>
      <c r="K28" s="461">
        <f>'I&amp;O Calc'!$M$176</f>
        <v>135.54999999999998</v>
      </c>
      <c r="L28" s="480"/>
      <c r="M28" s="480"/>
      <c r="N28" s="480"/>
      <c r="O28" s="480"/>
      <c r="P28" s="480"/>
      <c r="Q28" s="481">
        <f t="shared" si="2"/>
        <v>2664.36</v>
      </c>
      <c r="R28" s="482">
        <f t="shared" si="3"/>
        <v>6</v>
      </c>
      <c r="S28" s="470">
        <f>'I&amp;O Calc'!$M$297</f>
        <v>2664.36</v>
      </c>
      <c r="T28" s="470">
        <f t="shared" si="4"/>
        <v>0</v>
      </c>
      <c r="X28" s="470"/>
    </row>
    <row r="29" spans="1:24" ht="18" customHeight="1">
      <c r="A29" s="483" t="s">
        <v>246</v>
      </c>
      <c r="B29" s="484">
        <v>4.601</v>
      </c>
      <c r="C29" s="480"/>
      <c r="D29" s="480"/>
      <c r="E29" s="479">
        <f>'I&amp;O Calc'!$M$27</f>
        <v>514</v>
      </c>
      <c r="F29" s="479">
        <f>'I&amp;O Calc'!$M$59</f>
        <v>520</v>
      </c>
      <c r="G29" s="480"/>
      <c r="H29" s="480"/>
      <c r="I29" s="479">
        <f>'I&amp;O Calc'!$M$97</f>
        <v>513</v>
      </c>
      <c r="J29" s="480"/>
      <c r="K29" s="480"/>
      <c r="L29" s="461">
        <f>'I&amp;O Calc'!M194</f>
        <v>101</v>
      </c>
      <c r="M29" s="480"/>
      <c r="N29" s="480"/>
      <c r="O29" s="480"/>
      <c r="P29" s="480"/>
      <c r="Q29" s="481">
        <f t="shared" si="2"/>
        <v>1648</v>
      </c>
      <c r="R29" s="482">
        <f>COUNTA(C29:O29)</f>
        <v>4</v>
      </c>
      <c r="S29" s="470">
        <f>'I&amp;O Calc'!$M$298</f>
        <v>1648</v>
      </c>
      <c r="T29" s="470">
        <f t="shared" si="4"/>
        <v>0</v>
      </c>
      <c r="X29" s="470"/>
    </row>
    <row r="30" spans="1:24" ht="19.5" customHeight="1">
      <c r="A30" s="483" t="s">
        <v>247</v>
      </c>
      <c r="B30" s="485">
        <v>4.7530000000000001</v>
      </c>
      <c r="C30" s="479">
        <f>'I&amp;O Calc'!$M$10</f>
        <v>923</v>
      </c>
      <c r="D30" s="479">
        <f>'I&amp;O Calc'!$M$17</f>
        <v>935</v>
      </c>
      <c r="E30" s="479">
        <f>'I&amp;O Calc'!$M$26</f>
        <v>972</v>
      </c>
      <c r="F30" s="479">
        <f>'I&amp;O Calc'!$M$54</f>
        <v>873</v>
      </c>
      <c r="G30" s="480"/>
      <c r="H30" s="480"/>
      <c r="I30" s="479">
        <f>'I&amp;O Calc'!$M$95</f>
        <v>730</v>
      </c>
      <c r="J30" s="479">
        <f>'I&amp;O Calc'!$M$135</f>
        <v>935</v>
      </c>
      <c r="K30" s="461">
        <f>'I&amp;O Calc'!$M$143</f>
        <v>714</v>
      </c>
      <c r="L30" s="461">
        <f>'I&amp;O Calc'!$M$182</f>
        <v>449</v>
      </c>
      <c r="M30" s="461">
        <f>'I&amp;O Calc'!$M$200</f>
        <v>195</v>
      </c>
      <c r="N30" s="461">
        <f>'I&amp;O Calc'!$M$229</f>
        <v>215</v>
      </c>
      <c r="O30" s="461">
        <f>'I&amp;O Calc'!$M$255</f>
        <v>120</v>
      </c>
      <c r="P30" s="461">
        <f>'I&amp;O Calc'!M277</f>
        <v>330</v>
      </c>
      <c r="Q30" s="467">
        <f>SUM(C30:P30)</f>
        <v>7391</v>
      </c>
      <c r="R30" s="482">
        <f>COUNTA(C30:O30)</f>
        <v>11</v>
      </c>
      <c r="S30" s="470">
        <f>'I&amp;O Calc'!$M$299</f>
        <v>7391</v>
      </c>
      <c r="T30" s="470">
        <f t="shared" si="4"/>
        <v>0</v>
      </c>
      <c r="X30" s="470"/>
    </row>
    <row r="31" spans="1:24" ht="19.5" customHeight="1">
      <c r="A31" s="486" t="s">
        <v>248</v>
      </c>
      <c r="B31" s="487">
        <v>4.7530000000000001</v>
      </c>
      <c r="C31" s="480"/>
      <c r="D31" s="480"/>
      <c r="E31" s="480"/>
      <c r="F31" s="480"/>
      <c r="G31" s="480"/>
      <c r="H31" s="480"/>
      <c r="I31" s="480"/>
      <c r="J31" s="480"/>
      <c r="K31" s="480"/>
      <c r="L31" s="480"/>
      <c r="M31" s="480"/>
      <c r="N31" s="461">
        <f>'I&amp;O Calc'!$M$249</f>
        <v>27</v>
      </c>
      <c r="O31" s="480"/>
      <c r="P31" s="480"/>
      <c r="Q31" s="467">
        <f>SUM(C31:O31)</f>
        <v>27</v>
      </c>
      <c r="R31" s="482">
        <f>COUNTA(C31:O31)</f>
        <v>1</v>
      </c>
      <c r="S31" s="470"/>
      <c r="T31" s="470"/>
      <c r="X31" s="470"/>
    </row>
    <row r="32" spans="1:24" ht="24.75" customHeight="1">
      <c r="A32" s="460" t="s">
        <v>267</v>
      </c>
      <c r="B32" s="462"/>
      <c r="C32" s="461">
        <f>SUM(C23:C31)</f>
        <v>2252.8599999999997</v>
      </c>
      <c r="D32" s="461">
        <f>SUM(D23:D31)</f>
        <v>3734.47</v>
      </c>
      <c r="E32" s="461">
        <f t="shared" ref="E32:M32" si="5">SUM(E23:E31)</f>
        <v>4978.79</v>
      </c>
      <c r="F32" s="461">
        <f t="shared" si="5"/>
        <v>4100.4400000000005</v>
      </c>
      <c r="G32" s="461">
        <f t="shared" si="5"/>
        <v>389.82</v>
      </c>
      <c r="H32" s="461">
        <f t="shared" si="5"/>
        <v>78.08</v>
      </c>
      <c r="I32" s="461">
        <f t="shared" si="5"/>
        <v>3669.02</v>
      </c>
      <c r="J32" s="461">
        <f t="shared" si="5"/>
        <v>2822.2599999999998</v>
      </c>
      <c r="K32" s="461">
        <f t="shared" si="5"/>
        <v>6003.98</v>
      </c>
      <c r="L32" s="461">
        <f t="shared" si="5"/>
        <v>907.78</v>
      </c>
      <c r="M32" s="461">
        <f t="shared" si="5"/>
        <v>195</v>
      </c>
      <c r="N32" s="461">
        <f>SUM(N23:N31)</f>
        <v>242</v>
      </c>
      <c r="O32" s="461">
        <f>SUM(O23:O31)</f>
        <v>120</v>
      </c>
      <c r="P32" s="461">
        <f>SUM(P23:P31)</f>
        <v>330</v>
      </c>
      <c r="Q32" s="461">
        <f>SUM(Q23:Q31)</f>
        <v>29824.5</v>
      </c>
      <c r="R32" s="940">
        <f>SUM(R23:R31)</f>
        <v>49</v>
      </c>
      <c r="S32" s="470">
        <f>'I&amp;O Calc'!$M$301</f>
        <v>29824.5</v>
      </c>
      <c r="T32" s="470">
        <f>S32-Q32</f>
        <v>0</v>
      </c>
      <c r="X32" s="470"/>
    </row>
    <row r="33" spans="1:24" ht="18" customHeight="1">
      <c r="B33" s="488"/>
      <c r="C33" s="488"/>
      <c r="D33" s="488"/>
      <c r="E33" s="488"/>
      <c r="F33" s="488"/>
      <c r="G33" s="488"/>
      <c r="H33" s="488"/>
      <c r="I33" s="488"/>
      <c r="J33" s="488"/>
      <c r="K33" s="488"/>
      <c r="L33" s="488"/>
      <c r="M33" s="488"/>
      <c r="N33" s="488"/>
      <c r="O33" s="488"/>
      <c r="P33" s="488"/>
      <c r="R33" s="488" t="str">
        <f>IF(Q32&lt;&gt;'I&amp;O Calc'!M280,"Error","")</f>
        <v/>
      </c>
      <c r="X33" s="470"/>
    </row>
    <row r="34" spans="1:24" ht="19.5" customHeight="1">
      <c r="A34" s="483" t="s">
        <v>268</v>
      </c>
      <c r="B34" s="488"/>
      <c r="C34" s="489">
        <f>'I&amp;O Calc'!$M$309</f>
        <v>2252.8599999999997</v>
      </c>
      <c r="D34" s="489">
        <f>'I&amp;O Calc'!$M$310</f>
        <v>3734.47</v>
      </c>
      <c r="E34" s="489">
        <f>'I&amp;O Calc'!$M$311</f>
        <v>4978.79</v>
      </c>
      <c r="F34" s="489">
        <f>'I&amp;O Calc'!$M$312</f>
        <v>4100.4400000000005</v>
      </c>
      <c r="G34" s="489">
        <f>'I&amp;O Calc'!$M$313</f>
        <v>389.82</v>
      </c>
      <c r="H34" s="489">
        <f>'I&amp;O Calc'!$M$314</f>
        <v>78.08</v>
      </c>
      <c r="I34" s="489">
        <f>'I&amp;O Calc'!$M$315</f>
        <v>3669.02</v>
      </c>
      <c r="J34" s="489">
        <f>'I&amp;O Calc'!$M$316</f>
        <v>2822.2599999999998</v>
      </c>
      <c r="K34" s="489">
        <f>'I&amp;O Calc'!$M$317</f>
        <v>6003.9800000000005</v>
      </c>
      <c r="L34" s="489">
        <f>'I&amp;O Calc'!$M$318</f>
        <v>907.78</v>
      </c>
      <c r="M34" s="489">
        <f>'I&amp;O Calc'!$M$319</f>
        <v>195</v>
      </c>
      <c r="N34" s="489">
        <f>'I&amp;O Calc'!$M$320</f>
        <v>242</v>
      </c>
      <c r="O34" s="489">
        <f>'I&amp;O Calc'!$M$321</f>
        <v>120</v>
      </c>
      <c r="P34" s="489">
        <f>'I&amp;O Calc'!$M$322</f>
        <v>330</v>
      </c>
      <c r="Q34" s="489">
        <f>'I&amp;O Calc'!$M$323</f>
        <v>29824.499999999996</v>
      </c>
      <c r="R34" s="488"/>
      <c r="X34" s="470"/>
    </row>
    <row r="35" spans="1:24" ht="15.75" customHeight="1">
      <c r="B35" s="488"/>
      <c r="C35" s="489">
        <f>C34-C32</f>
        <v>0</v>
      </c>
      <c r="D35" s="489">
        <f t="shared" ref="D35:N35" si="6">D34-D32</f>
        <v>0</v>
      </c>
      <c r="E35" s="489">
        <f t="shared" si="6"/>
        <v>0</v>
      </c>
      <c r="F35" s="489">
        <f t="shared" si="6"/>
        <v>0</v>
      </c>
      <c r="G35" s="489">
        <f t="shared" si="6"/>
        <v>0</v>
      </c>
      <c r="H35" s="489">
        <f t="shared" si="6"/>
        <v>0</v>
      </c>
      <c r="I35" s="489">
        <f t="shared" si="6"/>
        <v>0</v>
      </c>
      <c r="J35" s="489">
        <f t="shared" si="6"/>
        <v>0</v>
      </c>
      <c r="K35" s="489">
        <f t="shared" si="6"/>
        <v>0</v>
      </c>
      <c r="L35" s="489">
        <f t="shared" si="6"/>
        <v>0</v>
      </c>
      <c r="M35" s="489">
        <f t="shared" si="6"/>
        <v>0</v>
      </c>
      <c r="N35" s="489">
        <f t="shared" si="6"/>
        <v>0</v>
      </c>
      <c r="O35" s="489">
        <f>O34-O32</f>
        <v>0</v>
      </c>
      <c r="P35" s="489">
        <f t="shared" ref="P35" si="7">P34-P32</f>
        <v>0</v>
      </c>
      <c r="Q35" s="489">
        <f>Q34-Q32</f>
        <v>0</v>
      </c>
      <c r="R35" s="488"/>
    </row>
    <row r="36" spans="1:24" ht="15.75" customHeight="1">
      <c r="B36" s="488"/>
      <c r="C36" s="489"/>
      <c r="D36" s="489"/>
      <c r="E36" s="489"/>
      <c r="F36" s="489"/>
      <c r="G36" s="489"/>
      <c r="H36" s="489"/>
      <c r="I36" s="489"/>
      <c r="J36" s="489"/>
      <c r="K36" s="489"/>
      <c r="L36" s="489"/>
      <c r="M36" s="489"/>
      <c r="N36" s="489"/>
      <c r="O36" s="489"/>
      <c r="P36" s="489"/>
      <c r="Q36" s="489"/>
      <c r="R36" s="488"/>
    </row>
    <row r="37" spans="1:24" ht="15.75" customHeight="1">
      <c r="B37" s="488"/>
      <c r="C37" s="489"/>
      <c r="D37" s="489"/>
      <c r="E37" s="489"/>
      <c r="F37" s="489"/>
      <c r="G37" s="489"/>
      <c r="H37" s="489"/>
      <c r="I37" s="489"/>
      <c r="J37" s="489"/>
      <c r="K37" s="489"/>
      <c r="L37" s="489"/>
      <c r="M37" s="489"/>
      <c r="N37" s="489"/>
      <c r="O37" s="489"/>
      <c r="P37" s="489"/>
      <c r="Q37" s="489"/>
      <c r="R37" s="488"/>
    </row>
    <row r="38" spans="1:24" ht="93.75" customHeight="1">
      <c r="A38" s="472" t="s">
        <v>269</v>
      </c>
      <c r="B38" s="456" t="s">
        <v>251</v>
      </c>
      <c r="C38" s="473" t="s">
        <v>252</v>
      </c>
      <c r="D38" s="473" t="s">
        <v>253</v>
      </c>
      <c r="E38" s="474" t="s">
        <v>254</v>
      </c>
      <c r="F38" s="473" t="s">
        <v>255</v>
      </c>
      <c r="G38" s="473" t="s">
        <v>256</v>
      </c>
      <c r="H38" s="473" t="s">
        <v>257</v>
      </c>
      <c r="I38" s="473" t="s">
        <v>258</v>
      </c>
      <c r="J38" s="473" t="s">
        <v>259</v>
      </c>
      <c r="K38" s="473" t="s">
        <v>260</v>
      </c>
      <c r="L38" s="473" t="s">
        <v>261</v>
      </c>
      <c r="M38" s="473" t="s">
        <v>262</v>
      </c>
      <c r="N38" s="473" t="s">
        <v>263</v>
      </c>
      <c r="O38" s="473" t="s">
        <v>264</v>
      </c>
      <c r="P38" s="473" t="s">
        <v>814</v>
      </c>
      <c r="Q38" s="475" t="s">
        <v>265</v>
      </c>
      <c r="R38" s="488"/>
    </row>
    <row r="39" spans="1:24" ht="18.75" customHeight="1">
      <c r="A39" s="477" t="s">
        <v>240</v>
      </c>
      <c r="B39" s="478">
        <v>1</v>
      </c>
      <c r="C39" s="479">
        <f>$B39*C23</f>
        <v>525.42999999999995</v>
      </c>
      <c r="D39" s="479">
        <f>$B39*D23</f>
        <v>1380.61</v>
      </c>
      <c r="E39" s="479">
        <f>$B39*E23</f>
        <v>66.47</v>
      </c>
      <c r="F39" s="479">
        <f>$B39*F23</f>
        <v>1514.3200000000002</v>
      </c>
      <c r="G39" s="479">
        <f>$B39*G23</f>
        <v>389.82</v>
      </c>
      <c r="H39" s="480"/>
      <c r="I39" s="479">
        <f t="shared" ref="I39:K40" si="8">$B39*I23</f>
        <v>65.83</v>
      </c>
      <c r="J39" s="479">
        <f t="shared" si="8"/>
        <v>579.04</v>
      </c>
      <c r="K39" s="479">
        <f t="shared" si="8"/>
        <v>2077.62</v>
      </c>
      <c r="L39" s="480"/>
      <c r="M39" s="480"/>
      <c r="N39" s="480"/>
      <c r="O39" s="480"/>
      <c r="P39" s="480"/>
      <c r="Q39" s="481">
        <f>SUM(C39:P39)</f>
        <v>6599.14</v>
      </c>
      <c r="R39" s="488"/>
    </row>
    <row r="40" spans="1:24" ht="18.75" customHeight="1">
      <c r="A40" s="483" t="s">
        <v>241</v>
      </c>
      <c r="B40" s="484">
        <v>1.018</v>
      </c>
      <c r="C40" s="479">
        <f>$B40*C24</f>
        <v>818.90973999999994</v>
      </c>
      <c r="D40" s="479">
        <f>$B40*D24</f>
        <v>267.19446000000005</v>
      </c>
      <c r="E40" s="479">
        <f>$B40*E24</f>
        <v>562.17014000000006</v>
      </c>
      <c r="F40" s="479">
        <f>$B40*F24</f>
        <v>326.70674000000002</v>
      </c>
      <c r="G40" s="480"/>
      <c r="H40" s="479">
        <f>$B40*H24</f>
        <v>18.619219999999999</v>
      </c>
      <c r="I40" s="479">
        <f t="shared" si="8"/>
        <v>180.74590000000001</v>
      </c>
      <c r="J40" s="479">
        <f t="shared" si="8"/>
        <v>634.92660000000001</v>
      </c>
      <c r="K40" s="479">
        <f t="shared" si="8"/>
        <v>174.68879999999996</v>
      </c>
      <c r="L40" s="479">
        <f>$B40*L24</f>
        <v>34.744340000000001</v>
      </c>
      <c r="M40" s="480"/>
      <c r="N40" s="480"/>
      <c r="O40" s="480"/>
      <c r="P40" s="480"/>
      <c r="Q40" s="481">
        <f t="shared" ref="Q40:Q47" si="9">SUM(C40:P40)</f>
        <v>3018.7059399999998</v>
      </c>
      <c r="R40" s="488"/>
    </row>
    <row r="41" spans="1:24" ht="18.75" customHeight="1">
      <c r="A41" s="483" t="s">
        <v>242</v>
      </c>
      <c r="B41" s="484">
        <v>1.75</v>
      </c>
      <c r="C41" s="480"/>
      <c r="D41" s="480"/>
      <c r="E41" s="479">
        <f>$B41*E25</f>
        <v>364.1925</v>
      </c>
      <c r="F41" s="480"/>
      <c r="G41" s="480"/>
      <c r="H41" s="480"/>
      <c r="I41" s="480"/>
      <c r="J41" s="480"/>
      <c r="K41" s="480"/>
      <c r="L41" s="480"/>
      <c r="M41" s="480"/>
      <c r="N41" s="480"/>
      <c r="O41" s="480"/>
      <c r="P41" s="480"/>
      <c r="Q41" s="481">
        <f t="shared" si="9"/>
        <v>364.1925</v>
      </c>
      <c r="R41" s="488"/>
    </row>
    <row r="42" spans="1:24" ht="18.75" customHeight="1">
      <c r="A42" s="483" t="s">
        <v>243</v>
      </c>
      <c r="B42" s="484">
        <v>1.1379999999999999</v>
      </c>
      <c r="C42" s="480"/>
      <c r="D42" s="479">
        <f>$B42*D26</f>
        <v>1234.5706799999998</v>
      </c>
      <c r="E42" s="479">
        <f>$B42*E26</f>
        <v>1560.3231799999996</v>
      </c>
      <c r="F42" s="479">
        <f>$B42*F26</f>
        <v>992.55221999999992</v>
      </c>
      <c r="G42" s="480"/>
      <c r="H42" s="480"/>
      <c r="I42" s="479">
        <f>$B42*I26</f>
        <v>606.34915999999998</v>
      </c>
      <c r="J42" s="480"/>
      <c r="K42" s="479">
        <f>$B42*K26</f>
        <v>2405.9140799999996</v>
      </c>
      <c r="L42" s="479">
        <f>$B42*L26</f>
        <v>368.31369999999993</v>
      </c>
      <c r="M42" s="480"/>
      <c r="N42" s="480"/>
      <c r="O42" s="480"/>
      <c r="P42" s="480"/>
      <c r="Q42" s="481">
        <f t="shared" si="9"/>
        <v>7168.0230199999987</v>
      </c>
      <c r="R42" s="488"/>
    </row>
    <row r="43" spans="1:24" ht="18.75" customHeight="1">
      <c r="A43" s="483" t="s">
        <v>244</v>
      </c>
      <c r="B43" s="484">
        <v>1.67</v>
      </c>
      <c r="C43" s="480"/>
      <c r="D43" s="480"/>
      <c r="E43" s="480"/>
      <c r="F43" s="480"/>
      <c r="G43" s="480"/>
      <c r="H43" s="480"/>
      <c r="I43" s="479">
        <f>$B43*I27</f>
        <v>1187.8709999999999</v>
      </c>
      <c r="J43" s="479">
        <f>$B43*J27</f>
        <v>869.1013999999999</v>
      </c>
      <c r="K43" s="479">
        <f>$B43*K27</f>
        <v>1321.0534999999998</v>
      </c>
      <c r="L43" s="480"/>
      <c r="M43" s="480"/>
      <c r="N43" s="480"/>
      <c r="O43" s="480"/>
      <c r="P43" s="480"/>
      <c r="Q43" s="481">
        <f t="shared" si="9"/>
        <v>3378.0258999999996</v>
      </c>
      <c r="R43" s="488"/>
    </row>
    <row r="44" spans="1:24" ht="18.75" customHeight="1">
      <c r="A44" s="483" t="s">
        <v>245</v>
      </c>
      <c r="B44" s="484">
        <v>1.7210000000000001</v>
      </c>
      <c r="C44" s="480"/>
      <c r="D44" s="479">
        <f>$B44*D28</f>
        <v>123.10313000000001</v>
      </c>
      <c r="E44" s="479">
        <f>$B44*E28</f>
        <v>2228.4712700000005</v>
      </c>
      <c r="F44" s="480"/>
      <c r="G44" s="480"/>
      <c r="H44" s="479">
        <f>$B44*H28</f>
        <v>102.89859</v>
      </c>
      <c r="I44" s="479">
        <f>$B44*I28</f>
        <v>1615.1929200000002</v>
      </c>
      <c r="J44" s="479">
        <f>$B44*J28</f>
        <v>282.41610000000003</v>
      </c>
      <c r="K44" s="479">
        <f>$B44*K28</f>
        <v>233.28154999999998</v>
      </c>
      <c r="L44" s="480"/>
      <c r="M44" s="480"/>
      <c r="N44" s="480"/>
      <c r="O44" s="480"/>
      <c r="P44" s="480"/>
      <c r="Q44" s="481">
        <f t="shared" si="9"/>
        <v>4585.3635600000007</v>
      </c>
      <c r="R44" s="488"/>
    </row>
    <row r="45" spans="1:24" ht="18.75" customHeight="1">
      <c r="A45" s="483" t="s">
        <v>246</v>
      </c>
      <c r="B45" s="484">
        <v>4.601</v>
      </c>
      <c r="C45" s="480"/>
      <c r="D45" s="480"/>
      <c r="E45" s="479">
        <f>$B45*E29</f>
        <v>2364.9140000000002</v>
      </c>
      <c r="F45" s="479">
        <f>$B45*F29</f>
        <v>2392.52</v>
      </c>
      <c r="G45" s="480"/>
      <c r="H45" s="480"/>
      <c r="I45" s="479">
        <f>$B45*I29</f>
        <v>2360.3130000000001</v>
      </c>
      <c r="J45" s="480"/>
      <c r="K45" s="480"/>
      <c r="L45" s="479">
        <f>$B45*L29</f>
        <v>464.70100000000002</v>
      </c>
      <c r="M45" s="480"/>
      <c r="N45" s="480"/>
      <c r="O45" s="480"/>
      <c r="P45" s="480"/>
      <c r="Q45" s="481">
        <f t="shared" si="9"/>
        <v>7582.4480000000003</v>
      </c>
      <c r="R45" s="488"/>
    </row>
    <row r="46" spans="1:24" ht="18.75" customHeight="1">
      <c r="A46" s="483" t="s">
        <v>247</v>
      </c>
      <c r="B46" s="485">
        <v>4.7530000000000001</v>
      </c>
      <c r="C46" s="479">
        <f>$B46*C30</f>
        <v>4387.0190000000002</v>
      </c>
      <c r="D46" s="479">
        <f>$B46*D30</f>
        <v>4444.0550000000003</v>
      </c>
      <c r="E46" s="479">
        <f>$B46*E30</f>
        <v>4619.9160000000002</v>
      </c>
      <c r="F46" s="479">
        <f>$B46*F30</f>
        <v>4149.3689999999997</v>
      </c>
      <c r="G46" s="480"/>
      <c r="H46" s="480"/>
      <c r="I46" s="479">
        <f>$B46*I30</f>
        <v>3469.69</v>
      </c>
      <c r="J46" s="479">
        <f t="shared" ref="J46:N46" si="10">$B46*J30</f>
        <v>4444.0550000000003</v>
      </c>
      <c r="K46" s="479">
        <f>$B46*K30</f>
        <v>3393.6420000000003</v>
      </c>
      <c r="L46" s="479">
        <f>$B46*L30</f>
        <v>2134.0970000000002</v>
      </c>
      <c r="M46" s="479">
        <f t="shared" si="10"/>
        <v>926.83500000000004</v>
      </c>
      <c r="N46" s="479">
        <f t="shared" si="10"/>
        <v>1021.895</v>
      </c>
      <c r="O46" s="479">
        <f>$B46*O30</f>
        <v>570.36</v>
      </c>
      <c r="P46" s="479">
        <f>$B46*P30</f>
        <v>1568.49</v>
      </c>
      <c r="Q46" s="481">
        <f>SUM(C46:P46)</f>
        <v>35129.422999999995</v>
      </c>
      <c r="R46" s="488"/>
    </row>
    <row r="47" spans="1:24" ht="18.75" customHeight="1">
      <c r="A47" s="490" t="s">
        <v>248</v>
      </c>
      <c r="B47" s="487">
        <v>4.7530000000000001</v>
      </c>
      <c r="C47" s="480"/>
      <c r="D47" s="480"/>
      <c r="E47" s="480"/>
      <c r="F47" s="480"/>
      <c r="G47" s="480"/>
      <c r="H47" s="480"/>
      <c r="I47" s="480"/>
      <c r="J47" s="480"/>
      <c r="K47" s="480"/>
      <c r="L47" s="480"/>
      <c r="M47" s="480"/>
      <c r="N47" s="479">
        <f>$B47*N31</f>
        <v>128.33100000000002</v>
      </c>
      <c r="O47" s="480"/>
      <c r="P47" s="480"/>
      <c r="Q47" s="481">
        <f t="shared" si="9"/>
        <v>128.33100000000002</v>
      </c>
      <c r="R47" s="488"/>
    </row>
    <row r="48" spans="1:24" ht="27" customHeight="1">
      <c r="A48" s="491" t="s">
        <v>270</v>
      </c>
      <c r="B48" s="492"/>
      <c r="C48" s="493">
        <f>SUM(C39:C47)</f>
        <v>5731.3587399999997</v>
      </c>
      <c r="D48" s="493">
        <f t="shared" ref="D48:M48" si="11">SUM(D39:D47)</f>
        <v>7449.5332699999999</v>
      </c>
      <c r="E48" s="493">
        <f t="shared" si="11"/>
        <v>11766.45709</v>
      </c>
      <c r="F48" s="493">
        <f t="shared" si="11"/>
        <v>9375.4679599999999</v>
      </c>
      <c r="G48" s="493">
        <f t="shared" si="11"/>
        <v>389.82</v>
      </c>
      <c r="H48" s="493">
        <f>SUM(H39:H47)</f>
        <v>121.51781</v>
      </c>
      <c r="I48" s="493">
        <f>SUM(I39:I47)</f>
        <v>9485.9919800000007</v>
      </c>
      <c r="J48" s="493">
        <f>SUM(J39:J47)</f>
        <v>6809.5391</v>
      </c>
      <c r="K48" s="493">
        <f t="shared" si="11"/>
        <v>9606.1999299999989</v>
      </c>
      <c r="L48" s="493">
        <f t="shared" si="11"/>
        <v>3001.8560400000001</v>
      </c>
      <c r="M48" s="493">
        <f t="shared" si="11"/>
        <v>926.83500000000004</v>
      </c>
      <c r="N48" s="493">
        <f>SUM(N39:N47)</f>
        <v>1150.2260000000001</v>
      </c>
      <c r="O48" s="493">
        <f>SUM(O39:O47)</f>
        <v>570.36</v>
      </c>
      <c r="P48" s="493">
        <f>SUM(P39:P47)</f>
        <v>1568.49</v>
      </c>
      <c r="Q48" s="494">
        <f>SUM(Q39:Q47)</f>
        <v>67953.652919999993</v>
      </c>
      <c r="R48" s="488"/>
    </row>
    <row r="49" spans="1:18" ht="15.75" customHeight="1">
      <c r="B49" s="488"/>
      <c r="C49" s="489"/>
      <c r="D49" s="489"/>
      <c r="E49" s="489"/>
      <c r="F49" s="489"/>
      <c r="G49" s="489"/>
      <c r="H49" s="489"/>
      <c r="I49" s="489"/>
      <c r="J49" s="489"/>
      <c r="K49" s="489"/>
      <c r="L49" s="489"/>
      <c r="M49" s="489"/>
      <c r="N49" s="489"/>
      <c r="O49" s="489"/>
      <c r="P49" s="489"/>
      <c r="Q49" s="489"/>
      <c r="R49" s="488"/>
    </row>
    <row r="50" spans="1:18" ht="33.9" customHeight="1">
      <c r="A50" s="948" t="s">
        <v>271</v>
      </c>
      <c r="B50" s="948"/>
      <c r="C50" s="948"/>
      <c r="D50" s="948"/>
      <c r="E50" s="948"/>
      <c r="F50" s="948"/>
      <c r="G50" s="489"/>
      <c r="H50" s="489"/>
      <c r="I50" s="489"/>
      <c r="J50" s="489"/>
      <c r="K50" s="489"/>
      <c r="L50" s="489"/>
      <c r="M50" s="489"/>
      <c r="N50" s="489"/>
      <c r="O50" s="489"/>
      <c r="P50" s="489"/>
      <c r="Q50" s="489"/>
      <c r="R50" s="488"/>
    </row>
    <row r="51" spans="1:18" ht="33.9" customHeight="1">
      <c r="A51" s="495"/>
      <c r="B51" s="496"/>
      <c r="C51" s="496"/>
      <c r="D51" s="472" t="s">
        <v>199</v>
      </c>
      <c r="E51" s="497" t="s">
        <v>198</v>
      </c>
      <c r="F51" s="497" t="s">
        <v>129</v>
      </c>
      <c r="G51" s="489"/>
      <c r="H51" s="489"/>
      <c r="I51" s="489"/>
      <c r="J51" s="489"/>
      <c r="K51" s="489"/>
      <c r="L51" s="489"/>
      <c r="M51" s="489"/>
      <c r="N51" s="489"/>
      <c r="O51" s="489"/>
      <c r="P51" s="489"/>
      <c r="Q51" s="489"/>
      <c r="R51" s="488"/>
    </row>
    <row r="52" spans="1:18" ht="19.5" customHeight="1">
      <c r="A52" s="498" t="s">
        <v>23</v>
      </c>
      <c r="B52" s="492"/>
      <c r="C52" s="493"/>
      <c r="D52" s="461">
        <f>C48</f>
        <v>5731.3587399999997</v>
      </c>
      <c r="E52" s="461">
        <v>5595.61</v>
      </c>
      <c r="F52" s="461">
        <f>D52-E52</f>
        <v>135.74874</v>
      </c>
      <c r="G52" s="489"/>
      <c r="H52" s="489"/>
      <c r="I52" s="489"/>
      <c r="J52" s="489"/>
      <c r="K52" s="489"/>
      <c r="L52" s="489"/>
      <c r="M52" s="489"/>
      <c r="N52" s="489"/>
      <c r="O52" s="489"/>
      <c r="P52" s="489"/>
      <c r="Q52" s="489"/>
      <c r="R52" s="488"/>
    </row>
    <row r="53" spans="1:18" ht="19.5" customHeight="1">
      <c r="A53" s="498" t="s">
        <v>76</v>
      </c>
      <c r="B53" s="492"/>
      <c r="C53" s="493"/>
      <c r="D53" s="461">
        <f>D48</f>
        <v>7449.5332699999999</v>
      </c>
      <c r="E53" s="461">
        <v>7665.2</v>
      </c>
      <c r="F53" s="461">
        <f t="shared" ref="F53:F63" si="12">D53-E53</f>
        <v>-215.66672999999992</v>
      </c>
      <c r="G53" s="489"/>
      <c r="H53" s="489"/>
      <c r="I53" s="489"/>
      <c r="J53" s="489"/>
      <c r="K53" s="489"/>
      <c r="L53" s="489"/>
      <c r="M53" s="489"/>
      <c r="N53" s="489"/>
      <c r="O53" s="489"/>
      <c r="P53" s="489"/>
      <c r="Q53" s="489"/>
      <c r="R53" s="488"/>
    </row>
    <row r="54" spans="1:18" ht="19.5" customHeight="1">
      <c r="A54" s="498" t="s">
        <v>77</v>
      </c>
      <c r="B54" s="492"/>
      <c r="C54" s="493"/>
      <c r="D54" s="461">
        <f>E48</f>
        <v>11766.45709</v>
      </c>
      <c r="E54" s="461">
        <v>12032.98</v>
      </c>
      <c r="F54" s="461">
        <f t="shared" si="12"/>
        <v>-266.52290999999968</v>
      </c>
      <c r="G54" s="489"/>
      <c r="H54" s="489"/>
      <c r="I54" s="489"/>
      <c r="J54" s="489"/>
      <c r="K54" s="489"/>
      <c r="L54" s="489"/>
      <c r="M54" s="489"/>
      <c r="N54" s="489"/>
      <c r="O54" s="489"/>
      <c r="P54" s="489"/>
      <c r="Q54" s="489"/>
      <c r="R54" s="488"/>
    </row>
    <row r="55" spans="1:18" ht="19.5" customHeight="1">
      <c r="A55" s="498" t="s">
        <v>78</v>
      </c>
      <c r="B55" s="499"/>
      <c r="C55" s="499"/>
      <c r="D55" s="461">
        <f>F48</f>
        <v>9375.4679599999999</v>
      </c>
      <c r="E55" s="461">
        <v>9184.7900000000009</v>
      </c>
      <c r="F55" s="461">
        <f t="shared" si="12"/>
        <v>190.67795999999908</v>
      </c>
    </row>
    <row r="56" spans="1:18" ht="19.5" customHeight="1">
      <c r="A56" s="498" t="s">
        <v>24</v>
      </c>
      <c r="B56" s="499"/>
      <c r="C56" s="499"/>
      <c r="D56" s="461">
        <f>G48</f>
        <v>389.82</v>
      </c>
      <c r="E56" s="461">
        <v>392.45</v>
      </c>
      <c r="F56" s="461">
        <f t="shared" si="12"/>
        <v>-2.6299999999999955</v>
      </c>
    </row>
    <row r="57" spans="1:18" ht="19.5" customHeight="1">
      <c r="A57" s="498" t="s">
        <v>85</v>
      </c>
      <c r="B57" s="499"/>
      <c r="C57" s="499"/>
      <c r="D57" s="461">
        <f>H48</f>
        <v>121.51781</v>
      </c>
      <c r="E57" s="461">
        <v>111.35</v>
      </c>
      <c r="F57" s="461">
        <f t="shared" si="12"/>
        <v>10.167810000000003</v>
      </c>
    </row>
    <row r="58" spans="1:18" ht="19.5" customHeight="1">
      <c r="A58" s="498" t="s">
        <v>79</v>
      </c>
      <c r="B58" s="499"/>
      <c r="C58" s="499"/>
      <c r="D58" s="461">
        <f>I48</f>
        <v>9485.9919800000007</v>
      </c>
      <c r="E58" s="461">
        <v>8638.44</v>
      </c>
      <c r="F58" s="461">
        <f t="shared" si="12"/>
        <v>847.55198000000019</v>
      </c>
    </row>
    <row r="59" spans="1:18" ht="19.5" customHeight="1">
      <c r="A59" s="498" t="s">
        <v>80</v>
      </c>
      <c r="B59" s="499"/>
      <c r="C59" s="499"/>
      <c r="D59" s="461">
        <f>J48</f>
        <v>6809.5391</v>
      </c>
      <c r="E59" s="461">
        <v>7056.98</v>
      </c>
      <c r="F59" s="461">
        <f t="shared" si="12"/>
        <v>-247.4408999999996</v>
      </c>
    </row>
    <row r="60" spans="1:18" ht="19.5" customHeight="1">
      <c r="A60" s="498" t="s">
        <v>75</v>
      </c>
      <c r="B60" s="499"/>
      <c r="C60" s="499"/>
      <c r="D60" s="461">
        <f>K48</f>
        <v>9606.1999299999989</v>
      </c>
      <c r="E60" s="461">
        <v>9942.1299999999992</v>
      </c>
      <c r="F60" s="461">
        <f t="shared" si="12"/>
        <v>-335.93007000000034</v>
      </c>
    </row>
    <row r="61" spans="1:18" ht="19.5" customHeight="1">
      <c r="A61" s="498" t="s">
        <v>81</v>
      </c>
      <c r="B61" s="499"/>
      <c r="C61" s="499"/>
      <c r="D61" s="461">
        <f>L48</f>
        <v>3001.8560400000001</v>
      </c>
      <c r="E61" s="461">
        <v>2487.39</v>
      </c>
      <c r="F61" s="461">
        <f t="shared" si="12"/>
        <v>514.46604000000025</v>
      </c>
    </row>
    <row r="62" spans="1:18" ht="19.5" customHeight="1">
      <c r="A62" s="498" t="s">
        <v>86</v>
      </c>
      <c r="B62" s="499"/>
      <c r="C62" s="499"/>
      <c r="D62" s="461">
        <f>M48</f>
        <v>926.83500000000004</v>
      </c>
      <c r="E62" s="461">
        <v>922.08</v>
      </c>
      <c r="F62" s="461">
        <f t="shared" si="12"/>
        <v>4.7549999999999955</v>
      </c>
    </row>
    <row r="63" spans="1:18" ht="19.5" customHeight="1">
      <c r="A63" s="498" t="s">
        <v>82</v>
      </c>
      <c r="B63" s="499"/>
      <c r="C63" s="499"/>
      <c r="D63" s="461">
        <f>N48</f>
        <v>1150.2260000000001</v>
      </c>
      <c r="E63" s="461">
        <v>1050.4100000000001</v>
      </c>
      <c r="F63" s="461">
        <f t="shared" si="12"/>
        <v>99.816000000000031</v>
      </c>
    </row>
    <row r="64" spans="1:18" ht="19.5" customHeight="1">
      <c r="A64" s="498" t="s">
        <v>83</v>
      </c>
      <c r="B64" s="499"/>
      <c r="C64" s="499"/>
      <c r="D64" s="461">
        <f>O48</f>
        <v>570.36</v>
      </c>
      <c r="E64" s="461">
        <v>142.59</v>
      </c>
      <c r="F64" s="461">
        <f>D64-E64</f>
        <v>427.77</v>
      </c>
    </row>
    <row r="65" spans="1:18" ht="19.5" customHeight="1">
      <c r="A65" s="498" t="s">
        <v>814</v>
      </c>
      <c r="B65" s="939"/>
      <c r="C65" s="939"/>
      <c r="D65" s="461">
        <f>P48</f>
        <v>1568.49</v>
      </c>
      <c r="E65" s="461">
        <v>0</v>
      </c>
      <c r="F65" s="461">
        <f>D65-E65</f>
        <v>1568.49</v>
      </c>
    </row>
    <row r="66" spans="1:18" ht="19.5" customHeight="1">
      <c r="A66" s="500" t="s">
        <v>272</v>
      </c>
      <c r="B66" s="501"/>
      <c r="C66" s="501"/>
      <c r="D66" s="467">
        <f>SUM(D52:D65)</f>
        <v>67953.652920000008</v>
      </c>
      <c r="E66" s="467">
        <f>SUM(E52:E65)</f>
        <v>65222.400000000001</v>
      </c>
      <c r="F66" s="467">
        <f>D66-E66</f>
        <v>2731.2529200000063</v>
      </c>
    </row>
    <row r="67" spans="1:18" ht="15.6" customHeight="1">
      <c r="B67" s="488"/>
      <c r="C67" s="489"/>
      <c r="D67" s="489"/>
      <c r="E67" s="489"/>
      <c r="F67" s="489"/>
      <c r="G67" s="489"/>
      <c r="H67" s="489"/>
      <c r="I67" s="489"/>
      <c r="J67" s="489"/>
      <c r="K67" s="489"/>
      <c r="L67" s="489"/>
      <c r="M67" s="489"/>
      <c r="N67" s="489"/>
      <c r="O67" s="489"/>
      <c r="P67" s="489"/>
      <c r="Q67" s="489"/>
      <c r="R67" s="488"/>
    </row>
    <row r="68" spans="1:18" ht="15.75" customHeight="1">
      <c r="B68" s="488"/>
      <c r="C68" s="489"/>
      <c r="D68" s="489"/>
      <c r="E68" s="489"/>
      <c r="F68" s="489"/>
      <c r="G68" s="489"/>
      <c r="H68" s="489"/>
      <c r="I68" s="489"/>
      <c r="J68" s="489"/>
      <c r="K68" s="489"/>
      <c r="L68" s="489"/>
      <c r="M68" s="489"/>
      <c r="N68" s="489"/>
      <c r="O68" s="489"/>
      <c r="P68" s="489"/>
      <c r="Q68" s="489"/>
      <c r="R68" s="488"/>
    </row>
    <row r="69" spans="1:18" ht="15.75" hidden="1" customHeight="1">
      <c r="B69" s="488"/>
      <c r="C69" s="489"/>
      <c r="D69" s="489"/>
      <c r="E69" s="489"/>
      <c r="F69" s="489"/>
      <c r="G69" s="489"/>
      <c r="H69" s="489"/>
      <c r="I69" s="489"/>
      <c r="J69" s="489"/>
      <c r="K69" s="489"/>
      <c r="L69" s="489"/>
      <c r="M69" s="489"/>
      <c r="N69" s="489"/>
      <c r="O69" s="489"/>
      <c r="P69" s="489"/>
      <c r="Q69" s="489"/>
      <c r="R69" s="488"/>
    </row>
    <row r="70" spans="1:18" s="502" customFormat="1" ht="20.25" hidden="1" customHeight="1"/>
    <row r="71" spans="1:18" ht="19.5" hidden="1" customHeight="1"/>
    <row r="72" spans="1:18" ht="90" hidden="1">
      <c r="A72" s="472" t="s">
        <v>273</v>
      </c>
      <c r="B72" s="456" t="s">
        <v>251</v>
      </c>
      <c r="C72" s="473" t="str">
        <f>C$22</f>
        <v>The University of Texas Southwestern Medical Center</v>
      </c>
      <c r="D72" s="473" t="str">
        <f t="shared" ref="D72:O72" si="13">D$22</f>
        <v>The University of Texas Medical Branch at Galveston</v>
      </c>
      <c r="E72" s="473" t="str">
        <f t="shared" si="13"/>
        <v>The University of Texas Health Science Center at Houston</v>
      </c>
      <c r="F72" s="473" t="str">
        <f t="shared" si="13"/>
        <v>The University of Texas Health Science Center at San Antonio</v>
      </c>
      <c r="G72" s="473" t="str">
        <f t="shared" si="13"/>
        <v>The University of Texas M.D. Anderson Cancer Center</v>
      </c>
      <c r="H72" s="473" t="str">
        <f t="shared" si="13"/>
        <v>The University of Texas Health Center at Tyler</v>
      </c>
      <c r="I72" s="473" t="str">
        <f t="shared" si="13"/>
        <v xml:space="preserve">Texas A&amp;M University System Health Science Center </v>
      </c>
      <c r="J72" s="473" t="str">
        <f t="shared" si="13"/>
        <v>University of North Texas Health Sciences Center at Fort Worth</v>
      </c>
      <c r="K72" s="473" t="str">
        <f t="shared" si="13"/>
        <v xml:space="preserve">Texas Tech University System Health Sciences Center </v>
      </c>
      <c r="L72" s="473" t="str">
        <f t="shared" si="13"/>
        <v>Texas Tech University System Health Sciences Center at El Paso</v>
      </c>
      <c r="M72" s="473" t="str">
        <f t="shared" si="13"/>
        <v>The University of Texas Medical School</v>
      </c>
      <c r="N72" s="473" t="str">
        <f t="shared" si="13"/>
        <v>The University of Texas Rio Grande Valley</v>
      </c>
      <c r="O72" s="473" t="str">
        <f t="shared" si="13"/>
        <v>University of Houston Medical School</v>
      </c>
      <c r="P72" s="473"/>
      <c r="Q72" s="475" t="s">
        <v>265</v>
      </c>
      <c r="R72" s="476" t="s">
        <v>266</v>
      </c>
    </row>
    <row r="73" spans="1:18" ht="15.6" hidden="1">
      <c r="A73" s="477" t="s">
        <v>274</v>
      </c>
      <c r="B73" s="478">
        <v>1</v>
      </c>
      <c r="C73" s="479">
        <f>ROUND('I&amp;O Calc'!$F$12/30,2)</f>
        <v>0</v>
      </c>
      <c r="D73" s="479">
        <f>ROUND('I&amp;O Calc'!$F$19/30,2)</f>
        <v>68.930000000000007</v>
      </c>
      <c r="E73" s="479" t="e">
        <f>ROUND('I&amp;O Calc'!#REF!/30,2)</f>
        <v>#REF!</v>
      </c>
      <c r="F73" s="479">
        <f>ROUND('I&amp;O Calc'!$F$69/30,2)</f>
        <v>301.17</v>
      </c>
      <c r="G73" s="479">
        <f>ROUND('I&amp;O Calc'!$F$78/30,2)</f>
        <v>359.9</v>
      </c>
      <c r="H73" s="503"/>
      <c r="I73" s="479">
        <f>ROUND('I&amp;O Calc'!$F$107/30,2)</f>
        <v>65.83</v>
      </c>
      <c r="J73" s="479">
        <f>ROUND('I&amp;O Calc'!$F$132/30,2)</f>
        <v>0</v>
      </c>
      <c r="K73" s="479">
        <f>ROUND('I&amp;O Calc'!$F$154/30,2)</f>
        <v>274.17</v>
      </c>
      <c r="L73" s="503"/>
      <c r="M73" s="503"/>
      <c r="N73" s="503"/>
      <c r="O73" s="503"/>
      <c r="P73" s="503"/>
      <c r="Q73" s="481" t="e">
        <f t="shared" ref="Q73:Q75" si="14">SUM(C73:L73)</f>
        <v>#REF!</v>
      </c>
      <c r="R73" s="482">
        <f t="shared" ref="R73:R75" si="15">COUNTA(C73:N73)</f>
        <v>8</v>
      </c>
    </row>
    <row r="74" spans="1:18" ht="15.6" hidden="1">
      <c r="A74" s="477" t="s">
        <v>275</v>
      </c>
      <c r="B74" s="478">
        <v>1</v>
      </c>
      <c r="C74" s="479">
        <f>ROUND('I&amp;O Calc'!$I$12/24,2)</f>
        <v>508.88</v>
      </c>
      <c r="D74" s="479">
        <f>ROUND('I&amp;O Calc'!$I$19/24,2)</f>
        <v>924.13</v>
      </c>
      <c r="E74" s="503"/>
      <c r="F74" s="479">
        <f>ROUND('I&amp;O Calc'!$I$69/24,2)</f>
        <v>884.54</v>
      </c>
      <c r="G74" s="479">
        <f>ROUND('I&amp;O Calc'!$I$78/24,2)</f>
        <v>29.92</v>
      </c>
      <c r="H74" s="503"/>
      <c r="I74" s="479">
        <f>ROUND('I&amp;O Calc'!$I$107/24,2)</f>
        <v>0</v>
      </c>
      <c r="J74" s="479">
        <f>ROUND('I&amp;O Calc'!$I$132/24,2)</f>
        <v>579.04</v>
      </c>
      <c r="K74" s="479">
        <f>ROUND('I&amp;O Calc'!$I$154/24,2)-0.01</f>
        <v>1461.45</v>
      </c>
      <c r="L74" s="503"/>
      <c r="M74" s="503"/>
      <c r="N74" s="503"/>
      <c r="O74" s="503"/>
      <c r="P74" s="503"/>
      <c r="Q74" s="481">
        <f t="shared" si="14"/>
        <v>4387.96</v>
      </c>
      <c r="R74" s="482">
        <f t="shared" si="15"/>
        <v>7</v>
      </c>
    </row>
    <row r="75" spans="1:18" ht="15.6" hidden="1">
      <c r="A75" s="477" t="s">
        <v>276</v>
      </c>
      <c r="B75" s="478">
        <v>1</v>
      </c>
      <c r="C75" s="479">
        <f>ROUND('I&amp;O Calc'!$L$12/18,2)</f>
        <v>16.559999999999999</v>
      </c>
      <c r="D75" s="479">
        <f>ROUND('I&amp;O Calc'!$L$19/18,2)</f>
        <v>387.56</v>
      </c>
      <c r="E75" s="503"/>
      <c r="F75" s="479">
        <f>ROUND('I&amp;O Calc'!$L$69/18,2)+0.02</f>
        <v>328.63</v>
      </c>
      <c r="G75" s="479">
        <f>ROUND('I&amp;O Calc'!$L$78/18,2)</f>
        <v>0</v>
      </c>
      <c r="H75" s="503"/>
      <c r="I75" s="479">
        <f>ROUND('I&amp;O Calc'!$L$89265,2)</f>
        <v>0</v>
      </c>
      <c r="J75" s="479">
        <f>ROUND('I&amp;O Calc'!$L$132/18,2)</f>
        <v>0</v>
      </c>
      <c r="K75" s="479">
        <f>ROUND('I&amp;O Calc'!$L$154/18,2)+0.01</f>
        <v>342.01</v>
      </c>
      <c r="L75" s="503"/>
      <c r="M75" s="503"/>
      <c r="N75" s="503"/>
      <c r="O75" s="503"/>
      <c r="P75" s="503"/>
      <c r="Q75" s="481">
        <f t="shared" si="14"/>
        <v>1074.76</v>
      </c>
      <c r="R75" s="482">
        <f t="shared" si="15"/>
        <v>7</v>
      </c>
    </row>
    <row r="76" spans="1:18" ht="15.6" hidden="1">
      <c r="C76" s="504">
        <f t="shared" ref="C76:Q76" si="16">SUM(C73:C75)</f>
        <v>525.43999999999994</v>
      </c>
      <c r="D76" s="504">
        <f t="shared" si="16"/>
        <v>1380.62</v>
      </c>
      <c r="E76" s="504" t="e">
        <f t="shared" si="16"/>
        <v>#REF!</v>
      </c>
      <c r="F76" s="504">
        <f t="shared" si="16"/>
        <v>1514.3400000000001</v>
      </c>
      <c r="G76" s="504">
        <f t="shared" si="16"/>
        <v>389.82</v>
      </c>
      <c r="H76" s="504">
        <f t="shared" si="16"/>
        <v>0</v>
      </c>
      <c r="I76" s="504">
        <f t="shared" si="16"/>
        <v>65.83</v>
      </c>
      <c r="J76" s="504">
        <f t="shared" si="16"/>
        <v>579.04</v>
      </c>
      <c r="K76" s="504">
        <f t="shared" ref="K76" si="17">SUM(K73:K75)</f>
        <v>2077.63</v>
      </c>
      <c r="L76" s="504">
        <f t="shared" si="16"/>
        <v>0</v>
      </c>
      <c r="M76" s="504">
        <f t="shared" si="16"/>
        <v>0</v>
      </c>
      <c r="N76" s="504">
        <f t="shared" si="16"/>
        <v>0</v>
      </c>
      <c r="O76" s="504">
        <f t="shared" ref="O76" si="18">SUM(O73:O75)</f>
        <v>0</v>
      </c>
      <c r="P76" s="504"/>
      <c r="Q76" s="504" t="e">
        <f t="shared" si="16"/>
        <v>#REF!</v>
      </c>
    </row>
    <row r="77" spans="1:18" ht="15" hidden="1">
      <c r="C77" s="505" t="str">
        <f t="shared" ref="C77:Q77" si="19">IF(C76&lt;&gt;C23,"Error","")</f>
        <v>Error</v>
      </c>
      <c r="D77" s="505" t="str">
        <f t="shared" si="19"/>
        <v>Error</v>
      </c>
      <c r="E77" s="505" t="e">
        <f t="shared" si="19"/>
        <v>#REF!</v>
      </c>
      <c r="F77" s="505" t="str">
        <f t="shared" si="19"/>
        <v>Error</v>
      </c>
      <c r="G77" s="505" t="str">
        <f t="shared" si="19"/>
        <v/>
      </c>
      <c r="H77" s="505" t="str">
        <f t="shared" si="19"/>
        <v/>
      </c>
      <c r="I77" s="505" t="str">
        <f t="shared" si="19"/>
        <v/>
      </c>
      <c r="J77" s="505" t="str">
        <f t="shared" si="19"/>
        <v/>
      </c>
      <c r="K77" s="505" t="str">
        <f t="shared" si="19"/>
        <v>Error</v>
      </c>
      <c r="L77" s="505" t="str">
        <f t="shared" si="19"/>
        <v/>
      </c>
      <c r="M77" s="505" t="str">
        <f t="shared" si="19"/>
        <v/>
      </c>
      <c r="N77" s="505" t="str">
        <f t="shared" si="19"/>
        <v/>
      </c>
      <c r="O77" s="505" t="str">
        <f t="shared" si="19"/>
        <v/>
      </c>
      <c r="P77" s="505"/>
      <c r="Q77" s="505" t="e">
        <f t="shared" si="19"/>
        <v>#REF!</v>
      </c>
    </row>
    <row r="78" spans="1:18" ht="13.5" hidden="1" customHeight="1">
      <c r="D78" s="470"/>
      <c r="F78" s="470"/>
      <c r="K78" s="470"/>
      <c r="L78" s="470"/>
      <c r="M78" s="470"/>
      <c r="N78" s="470"/>
      <c r="O78" s="470"/>
      <c r="P78" s="470"/>
      <c r="Q78" s="470"/>
    </row>
    <row r="79" spans="1:18" s="502" customFormat="1" hidden="1"/>
    <row r="80" spans="1:18" ht="15" hidden="1">
      <c r="A80" s="506"/>
      <c r="B80" s="506"/>
      <c r="C80" s="506"/>
      <c r="D80" s="506"/>
      <c r="E80" s="506"/>
      <c r="F80" s="506"/>
      <c r="G80" s="454"/>
    </row>
    <row r="81" spans="1:19" ht="90" hidden="1">
      <c r="A81" s="472" t="s">
        <v>277</v>
      </c>
      <c r="B81" s="456" t="s">
        <v>251</v>
      </c>
      <c r="C81" s="473" t="str">
        <f t="shared" ref="C81:O81" si="20">C$22</f>
        <v>The University of Texas Southwestern Medical Center</v>
      </c>
      <c r="D81" s="473" t="str">
        <f t="shared" si="20"/>
        <v>The University of Texas Medical Branch at Galveston</v>
      </c>
      <c r="E81" s="473" t="str">
        <f t="shared" si="20"/>
        <v>The University of Texas Health Science Center at Houston</v>
      </c>
      <c r="F81" s="473" t="str">
        <f t="shared" si="20"/>
        <v>The University of Texas Health Science Center at San Antonio</v>
      </c>
      <c r="G81" s="473" t="str">
        <f t="shared" si="20"/>
        <v>The University of Texas M.D. Anderson Cancer Center</v>
      </c>
      <c r="H81" s="473" t="str">
        <f t="shared" si="20"/>
        <v>The University of Texas Health Center at Tyler</v>
      </c>
      <c r="I81" s="473" t="str">
        <f t="shared" si="20"/>
        <v xml:space="preserve">Texas A&amp;M University System Health Science Center </v>
      </c>
      <c r="J81" s="473" t="str">
        <f t="shared" si="20"/>
        <v>University of North Texas Health Sciences Center at Fort Worth</v>
      </c>
      <c r="K81" s="473" t="str">
        <f t="shared" si="20"/>
        <v xml:space="preserve">Texas Tech University System Health Sciences Center </v>
      </c>
      <c r="L81" s="473" t="str">
        <f t="shared" si="20"/>
        <v>Texas Tech University System Health Sciences Center at El Paso</v>
      </c>
      <c r="M81" s="473" t="str">
        <f t="shared" si="20"/>
        <v>The University of Texas Medical School</v>
      </c>
      <c r="N81" s="473" t="str">
        <f t="shared" si="20"/>
        <v>The University of Texas Rio Grande Valley</v>
      </c>
      <c r="O81" s="473" t="str">
        <f t="shared" si="20"/>
        <v>University of Houston Medical School</v>
      </c>
      <c r="P81" s="473"/>
      <c r="Q81" s="475" t="s">
        <v>265</v>
      </c>
      <c r="R81" s="476" t="s">
        <v>266</v>
      </c>
    </row>
    <row r="82" spans="1:19" ht="15.6" hidden="1">
      <c r="A82" s="507" t="s">
        <v>278</v>
      </c>
      <c r="B82" s="508">
        <v>1.1379999999999999</v>
      </c>
      <c r="C82" s="503"/>
      <c r="D82" s="481">
        <f>'I&amp;O Calc'!$M$20</f>
        <v>1084.8599999999999</v>
      </c>
      <c r="E82" s="481">
        <f>'I&amp;O Calc'!$M$39</f>
        <v>1371.11</v>
      </c>
      <c r="F82" s="481">
        <f>'I&amp;O Calc'!$M$71-0.01</f>
        <v>872.18000000000006</v>
      </c>
      <c r="G82" s="503"/>
      <c r="H82" s="503"/>
      <c r="I82" s="481">
        <f>'I&amp;O Calc'!$M$110+'I&amp;O Calc'!$M$111+ROUND('I&amp;O Calc'!$F$109/30,2)</f>
        <v>452.47</v>
      </c>
      <c r="J82" s="503"/>
      <c r="K82" s="481">
        <f>'I&amp;O Calc'!$M$165</f>
        <v>2114.16</v>
      </c>
      <c r="L82" s="481">
        <f>'I&amp;O Calc'!$M$191</f>
        <v>323.64999999999998</v>
      </c>
      <c r="M82" s="503"/>
      <c r="N82" s="503"/>
      <c r="O82" s="503"/>
      <c r="P82" s="503"/>
      <c r="Q82" s="481">
        <f>SUM(D82:L82)</f>
        <v>6218.4299999999994</v>
      </c>
      <c r="R82" s="482">
        <f t="shared" ref="R82:R84" si="21">COUNTA(C82:N82)</f>
        <v>6</v>
      </c>
    </row>
    <row r="83" spans="1:19" ht="15.6" hidden="1">
      <c r="A83" s="471" t="s">
        <v>279</v>
      </c>
      <c r="B83" s="508">
        <v>1.1379999999999999</v>
      </c>
      <c r="C83" s="503"/>
      <c r="D83" s="481">
        <f>ROUND('I&amp;O Calc'!$I$20/'I&amp;O Calc'!$I$6,2)</f>
        <v>312.25</v>
      </c>
      <c r="E83" s="481">
        <f>ROUND('I&amp;O Calc'!$I$41/'I&amp;O Calc'!$I$6,2)</f>
        <v>271.04000000000002</v>
      </c>
      <c r="F83" s="481">
        <f>ROUND('I&amp;O Calc'!$I$71/'I&amp;O Calc'!$I$6,2)</f>
        <v>2</v>
      </c>
      <c r="G83" s="503"/>
      <c r="H83" s="503"/>
      <c r="I83" s="481" t="e">
        <f>ROUND('I&amp;O Calc'!#REF!/24,2)</f>
        <v>#REF!</v>
      </c>
      <c r="J83" s="503"/>
      <c r="K83" s="481" t="e">
        <f>ROUND('I&amp;O Calc'!#REF!/'I&amp;O Calc'!$I$6,2)</f>
        <v>#REF!</v>
      </c>
      <c r="L83" s="481" t="e">
        <f>ROUND('I&amp;O Calc'!#REF!/'I&amp;O Calc'!$I$6,2)</f>
        <v>#REF!</v>
      </c>
      <c r="M83" s="503"/>
      <c r="N83" s="503"/>
      <c r="O83" s="503"/>
      <c r="P83" s="503"/>
      <c r="Q83" s="481" t="e">
        <f>SUM(D83:L83)</f>
        <v>#REF!</v>
      </c>
      <c r="R83" s="482">
        <f t="shared" si="21"/>
        <v>6</v>
      </c>
    </row>
    <row r="84" spans="1:19" ht="15.6" hidden="1">
      <c r="A84" s="471" t="s">
        <v>280</v>
      </c>
      <c r="B84" s="508">
        <v>1.1379999999999999</v>
      </c>
      <c r="C84" s="503"/>
      <c r="D84" s="481" t="e">
        <f>ROUND('I&amp;O Calc'!#REF!/'I&amp;O Calc'!$L$6,2)</f>
        <v>#REF!</v>
      </c>
      <c r="E84" s="481">
        <f>ROUND('I&amp;O Calc'!$L$41/'I&amp;O Calc'!$L$6,2)</f>
        <v>448.67</v>
      </c>
      <c r="F84" s="481">
        <f>ROUND('I&amp;O Calc'!$L$71/'I&amp;O Calc'!$L$6,2)+0.02</f>
        <v>234.74</v>
      </c>
      <c r="G84" s="503"/>
      <c r="H84" s="503"/>
      <c r="I84" s="481"/>
      <c r="J84" s="503"/>
      <c r="K84" s="481" t="e">
        <f>ROUND('I&amp;O Calc'!#REF!/'I&amp;O Calc'!$L$6,2)</f>
        <v>#REF!</v>
      </c>
      <c r="L84" s="481" t="e">
        <f>ROUND('I&amp;O Calc'!#REF!/'I&amp;O Calc'!$L$6,2)</f>
        <v>#REF!</v>
      </c>
      <c r="M84" s="503"/>
      <c r="N84" s="503"/>
      <c r="O84" s="503"/>
      <c r="P84" s="503"/>
      <c r="Q84" s="481" t="e">
        <f>SUM(D84:L84)</f>
        <v>#REF!</v>
      </c>
      <c r="R84" s="482">
        <f t="shared" si="21"/>
        <v>5</v>
      </c>
    </row>
    <row r="85" spans="1:19" ht="15.6" hidden="1">
      <c r="A85" s="509"/>
      <c r="B85" s="509"/>
      <c r="C85" s="509"/>
      <c r="D85" s="504" t="e">
        <f>SUM(D82:D84)</f>
        <v>#REF!</v>
      </c>
      <c r="E85" s="504">
        <f>SUM(E82:E84)</f>
        <v>2090.8199999999997</v>
      </c>
      <c r="F85" s="504">
        <f>SUM(F82:F84)</f>
        <v>1108.92</v>
      </c>
      <c r="G85" s="510"/>
      <c r="H85" s="510"/>
      <c r="I85" s="504" t="e">
        <f>SUM(I82:I84)</f>
        <v>#REF!</v>
      </c>
      <c r="J85" s="510"/>
      <c r="K85" s="504" t="e">
        <f>SUM(K82:K84)</f>
        <v>#REF!</v>
      </c>
      <c r="L85" s="504" t="e">
        <f>SUM(L82:L84)</f>
        <v>#REF!</v>
      </c>
      <c r="M85" s="504">
        <f t="shared" ref="M85:O85" si="22">SUM(M82:M84)</f>
        <v>0</v>
      </c>
      <c r="N85" s="504">
        <f t="shared" si="22"/>
        <v>0</v>
      </c>
      <c r="O85" s="504">
        <f t="shared" si="22"/>
        <v>0</v>
      </c>
      <c r="P85" s="504"/>
      <c r="Q85" s="504" t="e">
        <f>SUM(Q82:Q84)</f>
        <v>#REF!</v>
      </c>
      <c r="R85" s="510"/>
    </row>
    <row r="86" spans="1:19" ht="15.6" hidden="1">
      <c r="A86" s="509"/>
      <c r="B86" s="511"/>
      <c r="C86" s="511"/>
      <c r="D86" s="505" t="e">
        <f t="shared" ref="D86:Q86" si="23">IF(D85&lt;&gt;D26,"Error","")</f>
        <v>#REF!</v>
      </c>
      <c r="E86" s="505" t="str">
        <f t="shared" si="23"/>
        <v>Error</v>
      </c>
      <c r="F86" s="505" t="str">
        <f t="shared" si="23"/>
        <v>Error</v>
      </c>
      <c r="G86" s="512" t="str">
        <f t="shared" si="23"/>
        <v/>
      </c>
      <c r="H86" s="512" t="str">
        <f t="shared" si="23"/>
        <v/>
      </c>
      <c r="I86" s="505" t="e">
        <f t="shared" si="23"/>
        <v>#REF!</v>
      </c>
      <c r="J86" s="512" t="str">
        <f t="shared" si="23"/>
        <v/>
      </c>
      <c r="K86" s="505" t="e">
        <f t="shared" si="23"/>
        <v>#REF!</v>
      </c>
      <c r="L86" s="505" t="e">
        <f t="shared" si="23"/>
        <v>#REF!</v>
      </c>
      <c r="M86" s="505" t="str">
        <f t="shared" si="23"/>
        <v/>
      </c>
      <c r="N86" s="505" t="str">
        <f t="shared" si="23"/>
        <v/>
      </c>
      <c r="O86" s="505" t="str">
        <f t="shared" si="23"/>
        <v/>
      </c>
      <c r="P86" s="505"/>
      <c r="Q86" s="505" t="e">
        <f t="shared" si="23"/>
        <v>#REF!</v>
      </c>
    </row>
    <row r="87" spans="1:19" ht="15" hidden="1">
      <c r="A87" s="513"/>
      <c r="B87" s="514"/>
      <c r="C87" s="514"/>
      <c r="D87" s="514"/>
      <c r="E87" s="514"/>
      <c r="F87" s="514"/>
      <c r="G87" s="454"/>
      <c r="I87" s="514"/>
      <c r="K87" s="514"/>
      <c r="L87" s="514"/>
      <c r="M87" s="514"/>
      <c r="N87" s="514"/>
      <c r="O87" s="514"/>
      <c r="P87" s="514"/>
      <c r="Q87" s="514"/>
    </row>
    <row r="88" spans="1:19" ht="15" hidden="1">
      <c r="A88" s="515"/>
      <c r="B88" s="516"/>
      <c r="C88" s="516"/>
      <c r="D88" s="516"/>
      <c r="E88" s="516"/>
      <c r="F88" s="516"/>
      <c r="G88" s="454"/>
      <c r="J88" s="454"/>
      <c r="K88" s="454"/>
      <c r="L88" s="454"/>
      <c r="M88" s="454"/>
      <c r="N88" s="454"/>
      <c r="O88" s="454"/>
      <c r="P88" s="454"/>
      <c r="Q88" s="454"/>
      <c r="R88" s="454"/>
      <c r="S88" s="454"/>
    </row>
    <row r="89" spans="1:19" s="519" customFormat="1" ht="10.5" hidden="1" customHeight="1">
      <c r="A89" s="517"/>
      <c r="B89" s="518"/>
      <c r="C89" s="518"/>
      <c r="D89" s="518"/>
      <c r="E89" s="518"/>
      <c r="F89" s="518"/>
      <c r="S89" s="520"/>
    </row>
    <row r="90" spans="1:19" s="454" customFormat="1" ht="10.5" hidden="1" customHeight="1">
      <c r="A90" s="515"/>
      <c r="B90" s="516"/>
      <c r="C90" s="516"/>
      <c r="D90" s="516"/>
      <c r="E90" s="516"/>
      <c r="F90" s="516"/>
      <c r="S90" s="459"/>
    </row>
    <row r="91" spans="1:19" ht="15.6" hidden="1">
      <c r="A91" s="521"/>
      <c r="B91" s="516"/>
      <c r="C91" s="516"/>
      <c r="D91" s="516"/>
      <c r="E91" s="516"/>
      <c r="F91" s="516"/>
      <c r="G91" s="454"/>
      <c r="J91" s="522"/>
      <c r="K91" s="454"/>
      <c r="L91" s="454"/>
      <c r="M91" s="454"/>
      <c r="N91" s="454"/>
      <c r="O91" s="454"/>
      <c r="P91" s="454"/>
      <c r="Q91" s="454"/>
      <c r="R91" s="454"/>
      <c r="S91" s="523"/>
    </row>
    <row r="92" spans="1:19" ht="99" hidden="1" customHeight="1">
      <c r="A92" s="472" t="s">
        <v>281</v>
      </c>
      <c r="B92" s="456"/>
      <c r="C92" s="473" t="str">
        <f t="shared" ref="C92:O92" si="24">C$22</f>
        <v>The University of Texas Southwestern Medical Center</v>
      </c>
      <c r="D92" s="473" t="str">
        <f t="shared" si="24"/>
        <v>The University of Texas Medical Branch at Galveston</v>
      </c>
      <c r="E92" s="473" t="str">
        <f t="shared" si="24"/>
        <v>The University of Texas Health Science Center at Houston</v>
      </c>
      <c r="F92" s="473" t="str">
        <f t="shared" si="24"/>
        <v>The University of Texas Health Science Center at San Antonio</v>
      </c>
      <c r="G92" s="473" t="str">
        <f t="shared" si="24"/>
        <v>The University of Texas M.D. Anderson Cancer Center</v>
      </c>
      <c r="H92" s="473" t="str">
        <f t="shared" si="24"/>
        <v>The University of Texas Health Center at Tyler</v>
      </c>
      <c r="I92" s="473" t="str">
        <f t="shared" si="24"/>
        <v xml:space="preserve">Texas A&amp;M University System Health Science Center </v>
      </c>
      <c r="J92" s="473" t="str">
        <f t="shared" si="24"/>
        <v>University of North Texas Health Sciences Center at Fort Worth</v>
      </c>
      <c r="K92" s="473" t="str">
        <f t="shared" si="24"/>
        <v xml:space="preserve">Texas Tech University System Health Sciences Center </v>
      </c>
      <c r="L92" s="473" t="str">
        <f t="shared" si="24"/>
        <v>Texas Tech University System Health Sciences Center at El Paso</v>
      </c>
      <c r="M92" s="473" t="str">
        <f t="shared" si="24"/>
        <v>The University of Texas Medical School</v>
      </c>
      <c r="N92" s="473" t="str">
        <f t="shared" si="24"/>
        <v>The University of Texas Rio Grande Valley</v>
      </c>
      <c r="O92" s="473" t="str">
        <f t="shared" si="24"/>
        <v>University of Houston Medical School</v>
      </c>
      <c r="P92" s="473"/>
      <c r="Q92" s="475" t="s">
        <v>265</v>
      </c>
      <c r="R92" s="476" t="s">
        <v>266</v>
      </c>
    </row>
    <row r="93" spans="1:19" ht="17.25" hidden="1" customHeight="1">
      <c r="A93" s="521" t="s">
        <v>282</v>
      </c>
      <c r="B93" s="524"/>
      <c r="C93" s="476"/>
      <c r="D93" s="476"/>
      <c r="E93" s="525"/>
      <c r="F93" s="476"/>
      <c r="G93" s="476"/>
      <c r="H93" s="476"/>
      <c r="I93" s="476"/>
      <c r="J93" s="476"/>
      <c r="K93" s="476"/>
      <c r="L93" s="476"/>
      <c r="M93" s="476"/>
      <c r="N93" s="476"/>
      <c r="O93" s="476"/>
      <c r="P93" s="476"/>
      <c r="Q93" s="475"/>
      <c r="R93" s="476"/>
    </row>
    <row r="94" spans="1:19" ht="15.6" hidden="1">
      <c r="A94" s="477" t="s">
        <v>240</v>
      </c>
      <c r="B94" s="478"/>
      <c r="C94" s="526">
        <f>'I&amp;O Calc'!$T$12</f>
        <v>5090638</v>
      </c>
      <c r="D94" s="526">
        <f>'I&amp;O Calc'!$T$19</f>
        <v>13376064</v>
      </c>
      <c r="E94" s="526">
        <f>'I&amp;O Calc'!$T$34</f>
        <v>643996</v>
      </c>
      <c r="F94" s="526">
        <f>'I&amp;O Calc'!$T$69</f>
        <v>15396884</v>
      </c>
      <c r="G94" s="526">
        <f>'I&amp;O Calc'!$T$78</f>
        <v>3776778</v>
      </c>
      <c r="H94" s="527"/>
      <c r="I94" s="526">
        <f>'I&amp;O Calc'!$T$107</f>
        <v>1521036</v>
      </c>
      <c r="J94" s="526">
        <f>'I&amp;O Calc'!$T$132</f>
        <v>5610039</v>
      </c>
      <c r="K94" s="526">
        <f>'I&amp;O Calc'!$T$154</f>
        <v>21846604</v>
      </c>
      <c r="L94" s="528"/>
      <c r="M94" s="503"/>
      <c r="N94" s="503"/>
      <c r="O94" s="503"/>
      <c r="P94" s="503"/>
      <c r="Q94" s="529">
        <f>SUM(C94:O94)</f>
        <v>67262039</v>
      </c>
      <c r="R94" s="482">
        <f t="shared" ref="R94:R101" si="25">COUNTA(C94:N94)</f>
        <v>8</v>
      </c>
    </row>
    <row r="95" spans="1:19" ht="15.6" hidden="1">
      <c r="A95" s="483" t="s">
        <v>241</v>
      </c>
      <c r="B95" s="484"/>
      <c r="C95" s="530">
        <f>'I&amp;O Calc'!$T$11</f>
        <v>7934021</v>
      </c>
      <c r="D95" s="530">
        <f>'I&amp;O Calc'!$T$18</f>
        <v>2588718</v>
      </c>
      <c r="E95" s="530">
        <f>'I&amp;O Calc'!$T$32</f>
        <v>5446595</v>
      </c>
      <c r="F95" s="530">
        <f>'I&amp;O Calc'!$T$61</f>
        <v>3165304</v>
      </c>
      <c r="G95" s="528"/>
      <c r="H95" s="526">
        <f>'I&amp;O Calc'!$T$83</f>
        <v>512741</v>
      </c>
      <c r="I95" s="530">
        <f>'I&amp;O Calc'!$T$105</f>
        <v>2917996</v>
      </c>
      <c r="J95" s="530">
        <f>'I&amp;O Calc'!$T$131</f>
        <v>6151497</v>
      </c>
      <c r="K95" s="530">
        <f>'I&amp;O Calc'!$T$148</f>
        <v>2701421</v>
      </c>
      <c r="L95" s="530">
        <f>'I&amp;O Calc'!$T$185</f>
        <v>336621</v>
      </c>
      <c r="M95" s="503"/>
      <c r="N95" s="503"/>
      <c r="O95" s="503"/>
      <c r="P95" s="503"/>
      <c r="Q95" s="531">
        <f t="shared" ref="Q95:Q101" si="26">SUM(C95:O95)</f>
        <v>31754914</v>
      </c>
      <c r="R95" s="482">
        <f t="shared" si="25"/>
        <v>9</v>
      </c>
    </row>
    <row r="96" spans="1:19" ht="15.6" hidden="1">
      <c r="A96" s="483" t="s">
        <v>242</v>
      </c>
      <c r="B96" s="484"/>
      <c r="C96" s="528"/>
      <c r="D96" s="528"/>
      <c r="E96" s="530">
        <f>'I&amp;O Calc'!$T$37</f>
        <v>0</v>
      </c>
      <c r="F96" s="528"/>
      <c r="G96" s="528"/>
      <c r="H96" s="528"/>
      <c r="I96" s="528"/>
      <c r="J96" s="528"/>
      <c r="K96" s="528"/>
      <c r="L96" s="528"/>
      <c r="M96" s="503"/>
      <c r="N96" s="503"/>
      <c r="O96" s="503"/>
      <c r="P96" s="503"/>
      <c r="Q96" s="531">
        <f t="shared" si="26"/>
        <v>0</v>
      </c>
      <c r="R96" s="482">
        <f t="shared" si="25"/>
        <v>1</v>
      </c>
    </row>
    <row r="97" spans="1:19" ht="15.6" hidden="1">
      <c r="A97" s="483" t="s">
        <v>243</v>
      </c>
      <c r="B97" s="484"/>
      <c r="C97" s="528"/>
      <c r="D97" s="530" t="e">
        <f>'I&amp;O Calc'!#REF!</f>
        <v>#REF!</v>
      </c>
      <c r="E97" s="530">
        <f>'I&amp;O Calc'!$T$41</f>
        <v>15117218</v>
      </c>
      <c r="F97" s="530">
        <f>'I&amp;O Calc'!$T$72</f>
        <v>0</v>
      </c>
      <c r="G97" s="528"/>
      <c r="H97" s="528"/>
      <c r="I97" s="530" t="e">
        <f>'I&amp;O Calc'!#REF!</f>
        <v>#REF!</v>
      </c>
      <c r="J97" s="528"/>
      <c r="K97" s="530" t="e">
        <f>'I&amp;O Calc'!#REF!</f>
        <v>#REF!</v>
      </c>
      <c r="L97" s="530" t="e">
        <f>'I&amp;O Calc'!#REF!</f>
        <v>#REF!</v>
      </c>
      <c r="M97" s="503"/>
      <c r="N97" s="503"/>
      <c r="O97" s="503"/>
      <c r="P97" s="503"/>
      <c r="Q97" s="531" t="e">
        <f t="shared" si="26"/>
        <v>#REF!</v>
      </c>
      <c r="R97" s="482">
        <f t="shared" si="25"/>
        <v>6</v>
      </c>
    </row>
    <row r="98" spans="1:19" ht="15.6" hidden="1">
      <c r="A98" s="483" t="s">
        <v>244</v>
      </c>
      <c r="B98" s="484"/>
      <c r="C98" s="528"/>
      <c r="D98" s="528"/>
      <c r="E98" s="528"/>
      <c r="F98" s="528"/>
      <c r="G98" s="528"/>
      <c r="H98" s="528"/>
      <c r="I98" s="530">
        <f>'I&amp;O Calc'!$T$116</f>
        <v>11508709</v>
      </c>
      <c r="J98" s="530">
        <f>'I&amp;O Calc'!$T$134</f>
        <v>8420304</v>
      </c>
      <c r="K98" s="530">
        <f>'I&amp;O Calc'!$T$171</f>
        <v>13832395</v>
      </c>
      <c r="L98" s="528"/>
      <c r="M98" s="503"/>
      <c r="N98" s="503"/>
      <c r="O98" s="503"/>
      <c r="P98" s="503"/>
      <c r="Q98" s="531">
        <f t="shared" si="26"/>
        <v>33761408</v>
      </c>
      <c r="R98" s="482">
        <f t="shared" si="25"/>
        <v>3</v>
      </c>
    </row>
    <row r="99" spans="1:19" ht="15.6" hidden="1">
      <c r="A99" s="483" t="s">
        <v>245</v>
      </c>
      <c r="B99" s="484"/>
      <c r="C99" s="528"/>
      <c r="D99" s="530">
        <f>'I&amp;O Calc'!$T$21</f>
        <v>1192687</v>
      </c>
      <c r="E99" s="530">
        <f>'I&amp;O Calc'!$T$49</f>
        <v>24646757</v>
      </c>
      <c r="F99" s="528"/>
      <c r="G99" s="528"/>
      <c r="H99" s="526">
        <f>'I&amp;O Calc'!$T$84</f>
        <v>1835251</v>
      </c>
      <c r="I99" s="530">
        <f>'I&amp;O Calc'!$T$126</f>
        <v>16249521</v>
      </c>
      <c r="J99" s="530">
        <f>'I&amp;O Calc'!$T$133</f>
        <v>2736193</v>
      </c>
      <c r="K99" s="532">
        <f>'I&amp;O Calc'!$T$176</f>
        <v>2336247</v>
      </c>
      <c r="L99" s="528"/>
      <c r="M99" s="503"/>
      <c r="N99" s="503"/>
      <c r="O99" s="503"/>
      <c r="P99" s="503"/>
      <c r="Q99" s="531">
        <f t="shared" si="26"/>
        <v>48996656</v>
      </c>
      <c r="R99" s="482">
        <f t="shared" si="25"/>
        <v>6</v>
      </c>
    </row>
    <row r="100" spans="1:19" ht="15.6" hidden="1">
      <c r="A100" s="483" t="s">
        <v>246</v>
      </c>
      <c r="B100" s="484"/>
      <c r="C100" s="528"/>
      <c r="D100" s="528"/>
      <c r="E100" s="530">
        <f>'I&amp;O Calc'!$T$27</f>
        <v>22912511</v>
      </c>
      <c r="F100" s="530">
        <f>'I&amp;O Calc'!$T$59</f>
        <v>23297572</v>
      </c>
      <c r="G100" s="528"/>
      <c r="H100" s="528"/>
      <c r="I100" s="530">
        <f>'I&amp;O Calc'!$T$97</f>
        <v>22867934</v>
      </c>
      <c r="J100" s="528"/>
      <c r="K100" s="528"/>
      <c r="L100" s="528"/>
      <c r="M100" s="528"/>
      <c r="N100" s="528"/>
      <c r="O100" s="528"/>
      <c r="P100" s="528"/>
      <c r="Q100" s="531">
        <f t="shared" si="26"/>
        <v>69078017</v>
      </c>
      <c r="R100" s="482">
        <f t="shared" si="25"/>
        <v>3</v>
      </c>
    </row>
    <row r="101" spans="1:19" ht="15.6" hidden="1">
      <c r="A101" s="490" t="s">
        <v>247</v>
      </c>
      <c r="B101" s="487"/>
      <c r="C101" s="530">
        <f>'I&amp;O Calc'!$T$10</f>
        <v>42503710</v>
      </c>
      <c r="D101" s="530" t="e">
        <f>'I&amp;O Calc'!#REF!</f>
        <v>#REF!</v>
      </c>
      <c r="E101" s="530">
        <f>'I&amp;O Calc'!$T$26</f>
        <v>44760137</v>
      </c>
      <c r="F101" s="530" t="e">
        <f>'I&amp;O Calc'!#REF!</f>
        <v>#REF!</v>
      </c>
      <c r="G101" s="528"/>
      <c r="H101" s="528"/>
      <c r="I101" s="530">
        <f>'I&amp;O Calc'!$T$95</f>
        <v>38646402</v>
      </c>
      <c r="J101" s="530">
        <f>'I&amp;O Calc'!$T$135</f>
        <v>43056305</v>
      </c>
      <c r="K101" s="532">
        <f>'I&amp;O Calc'!$T$143</f>
        <v>35423210</v>
      </c>
      <c r="L101" s="532">
        <f>'I&amp;O Calc'!$T$182</f>
        <v>20676236</v>
      </c>
      <c r="M101" s="532">
        <f>'I&amp;O Calc'!$T$200</f>
        <v>8979657</v>
      </c>
      <c r="N101" s="532">
        <f>'I&amp;O Calc'!$T$229</f>
        <v>9900648</v>
      </c>
      <c r="O101" s="532">
        <f>'I&amp;O Calc'!$T$255</f>
        <v>5525943</v>
      </c>
      <c r="P101" s="532"/>
      <c r="Q101" s="533" t="e">
        <f t="shared" si="26"/>
        <v>#REF!</v>
      </c>
      <c r="R101" s="482">
        <f t="shared" si="25"/>
        <v>10</v>
      </c>
    </row>
    <row r="102" spans="1:19" ht="15.6" hidden="1">
      <c r="A102" s="483" t="s">
        <v>282</v>
      </c>
      <c r="B102" s="488"/>
      <c r="C102" s="534">
        <f t="shared" ref="C102:Q102" si="27">SUM(C94:C101)</f>
        <v>55528369</v>
      </c>
      <c r="D102" s="534" t="e">
        <f t="shared" si="27"/>
        <v>#REF!</v>
      </c>
      <c r="E102" s="534">
        <f t="shared" si="27"/>
        <v>113527214</v>
      </c>
      <c r="F102" s="534" t="e">
        <f t="shared" si="27"/>
        <v>#REF!</v>
      </c>
      <c r="G102" s="534">
        <f t="shared" si="27"/>
        <v>3776778</v>
      </c>
      <c r="H102" s="534">
        <f t="shared" si="27"/>
        <v>2347992</v>
      </c>
      <c r="I102" s="534" t="e">
        <f t="shared" si="27"/>
        <v>#REF!</v>
      </c>
      <c r="J102" s="534">
        <f t="shared" si="27"/>
        <v>65974338</v>
      </c>
      <c r="K102" s="534" t="e">
        <f t="shared" si="27"/>
        <v>#REF!</v>
      </c>
      <c r="L102" s="534" t="e">
        <f t="shared" si="27"/>
        <v>#REF!</v>
      </c>
      <c r="M102" s="534">
        <f t="shared" si="27"/>
        <v>8979657</v>
      </c>
      <c r="N102" s="534">
        <f t="shared" si="27"/>
        <v>9900648</v>
      </c>
      <c r="O102" s="534">
        <f t="shared" si="27"/>
        <v>5525943</v>
      </c>
      <c r="P102" s="534"/>
      <c r="Q102" s="535" t="e">
        <f t="shared" si="27"/>
        <v>#REF!</v>
      </c>
      <c r="R102" s="489"/>
    </row>
    <row r="103" spans="1:19" ht="15" hidden="1">
      <c r="A103" s="515"/>
      <c r="B103" s="516"/>
      <c r="C103" s="536" t="str">
        <f>IF(C102&lt;&gt;'I&amp;O Calc'!$T331,"Error","")</f>
        <v/>
      </c>
      <c r="D103" s="536" t="e">
        <f>IF(D102&lt;&gt;'I&amp;O Calc'!$T332,"Error","")</f>
        <v>#REF!</v>
      </c>
      <c r="E103" s="536" t="str">
        <f>IF(E102&lt;&gt;'I&amp;O Calc'!$T333,"Error","")</f>
        <v>Error</v>
      </c>
      <c r="F103" s="536" t="e">
        <f>IF(F102&lt;&gt;'I&amp;O Calc'!$T334,"Error","")</f>
        <v>#REF!</v>
      </c>
      <c r="G103" s="536" t="str">
        <f>IF(G102&lt;&gt;'I&amp;O Calc'!$T335,"Error","")</f>
        <v/>
      </c>
      <c r="H103" s="536" t="str">
        <f>IF(H102&lt;&gt;'I&amp;O Calc'!$T336,"Error","")</f>
        <v/>
      </c>
      <c r="I103" s="536" t="e">
        <f>IF(I102&lt;&gt;'I&amp;O Calc'!$T337,"Error","")</f>
        <v>#REF!</v>
      </c>
      <c r="J103" s="536" t="str">
        <f>IF(J102&lt;&gt;'I&amp;O Calc'!$T338,"Error","")</f>
        <v>Error</v>
      </c>
      <c r="K103" s="536" t="e">
        <f>IF(K102&lt;&gt;'I&amp;O Calc'!$T339,"Error","")</f>
        <v>#REF!</v>
      </c>
      <c r="L103" s="536" t="e">
        <f>IF(L102&lt;&gt;'I&amp;O Calc'!$T340,"Error","")</f>
        <v>#REF!</v>
      </c>
      <c r="M103" s="536" t="str">
        <f>IF(M102&lt;&gt;'I&amp;O Calc'!$T341,"Error","")</f>
        <v/>
      </c>
      <c r="N103" s="536" t="str">
        <f>IF(N102&lt;&gt;'I&amp;O Calc'!$T342,"Error","")</f>
        <v>Error</v>
      </c>
      <c r="O103" s="536" t="str">
        <f>IF(O102&lt;&gt;'I&amp;O Calc'!$T343,"Error","")</f>
        <v/>
      </c>
      <c r="P103" s="536"/>
      <c r="Q103" s="536" t="e">
        <f>IF(Q102&lt;&gt;'I&amp;O Calc'!$T345,"Error","")</f>
        <v>#REF!</v>
      </c>
      <c r="R103" s="454"/>
      <c r="S103" s="523"/>
    </row>
    <row r="104" spans="1:19" ht="15" hidden="1">
      <c r="A104" s="515"/>
      <c r="B104" s="516"/>
      <c r="C104" s="516"/>
      <c r="D104" s="516"/>
      <c r="E104" s="516"/>
      <c r="F104" s="516"/>
      <c r="G104" s="454"/>
      <c r="J104" s="522"/>
      <c r="K104" s="454"/>
      <c r="L104" s="454"/>
      <c r="M104" s="454"/>
      <c r="N104" s="454"/>
      <c r="O104" s="454"/>
      <c r="P104" s="454"/>
      <c r="Q104" s="454"/>
      <c r="R104" s="454"/>
      <c r="S104" s="523"/>
    </row>
    <row r="105" spans="1:19" ht="15.6" hidden="1">
      <c r="A105" s="521" t="s">
        <v>283</v>
      </c>
      <c r="B105" s="516"/>
      <c r="C105" s="516"/>
      <c r="D105" s="516"/>
      <c r="E105" s="516"/>
      <c r="F105" s="516"/>
      <c r="G105" s="454"/>
      <c r="J105" s="522"/>
      <c r="K105" s="454"/>
      <c r="L105" s="454"/>
      <c r="M105" s="454"/>
      <c r="N105" s="454"/>
      <c r="O105" s="454"/>
      <c r="P105" s="454"/>
      <c r="Q105" s="454"/>
      <c r="R105" s="454"/>
      <c r="S105" s="523"/>
    </row>
    <row r="106" spans="1:19" ht="15.6" hidden="1">
      <c r="A106" s="477" t="s">
        <v>240</v>
      </c>
      <c r="B106" s="478"/>
      <c r="C106" s="526">
        <f>C94*2</f>
        <v>10181276</v>
      </c>
      <c r="D106" s="526">
        <f t="shared" ref="D106:F106" si="28">D94*2</f>
        <v>26752128</v>
      </c>
      <c r="E106" s="526">
        <f t="shared" si="28"/>
        <v>1287992</v>
      </c>
      <c r="F106" s="526">
        <f t="shared" si="28"/>
        <v>30793768</v>
      </c>
      <c r="G106" s="526">
        <f>G94*2</f>
        <v>7553556</v>
      </c>
      <c r="H106" s="527"/>
      <c r="I106" s="526">
        <f>I94*2</f>
        <v>3042072</v>
      </c>
      <c r="J106" s="526">
        <f>J94*2</f>
        <v>11220078</v>
      </c>
      <c r="K106" s="526">
        <f t="shared" ref="K106:K107" si="29">K94*2</f>
        <v>43693208</v>
      </c>
      <c r="L106" s="528"/>
      <c r="M106" s="528"/>
      <c r="N106" s="528"/>
      <c r="O106" s="528"/>
      <c r="P106" s="528"/>
      <c r="Q106" s="529">
        <f t="shared" ref="Q106:Q113" si="30">SUM(C106:O106)</f>
        <v>134524078</v>
      </c>
      <c r="R106" s="482">
        <f t="shared" ref="R106:R113" si="31">COUNTA(C106:N106)</f>
        <v>8</v>
      </c>
    </row>
    <row r="107" spans="1:19" ht="15.6" hidden="1">
      <c r="A107" s="483" t="s">
        <v>241</v>
      </c>
      <c r="B107" s="484"/>
      <c r="C107" s="530">
        <f>C95*2</f>
        <v>15868042</v>
      </c>
      <c r="D107" s="530">
        <f>D95*2</f>
        <v>5177436</v>
      </c>
      <c r="E107" s="530">
        <f>E95*2</f>
        <v>10893190</v>
      </c>
      <c r="F107" s="530">
        <f>F95*2</f>
        <v>6330608</v>
      </c>
      <c r="G107" s="528"/>
      <c r="H107" s="526">
        <f>H95*2</f>
        <v>1025482</v>
      </c>
      <c r="I107" s="530">
        <f>I95*2</f>
        <v>5835992</v>
      </c>
      <c r="J107" s="530">
        <f>J95*2</f>
        <v>12302994</v>
      </c>
      <c r="K107" s="530">
        <f t="shared" si="29"/>
        <v>5402842</v>
      </c>
      <c r="L107" s="526">
        <f>L95*2</f>
        <v>673242</v>
      </c>
      <c r="M107" s="528"/>
      <c r="N107" s="528"/>
      <c r="O107" s="528"/>
      <c r="P107" s="528"/>
      <c r="Q107" s="531">
        <f t="shared" si="30"/>
        <v>63509828</v>
      </c>
      <c r="R107" s="482">
        <f t="shared" si="31"/>
        <v>9</v>
      </c>
    </row>
    <row r="108" spans="1:19" ht="15.6" hidden="1">
      <c r="A108" s="483" t="s">
        <v>242</v>
      </c>
      <c r="B108" s="484"/>
      <c r="C108" s="528"/>
      <c r="D108" s="528"/>
      <c r="E108" s="530">
        <f>E96*2</f>
        <v>0</v>
      </c>
      <c r="F108" s="528"/>
      <c r="G108" s="528"/>
      <c r="H108" s="528"/>
      <c r="I108" s="528"/>
      <c r="J108" s="528"/>
      <c r="K108" s="528"/>
      <c r="L108" s="528"/>
      <c r="M108" s="528"/>
      <c r="N108" s="528"/>
      <c r="O108" s="528"/>
      <c r="P108" s="528"/>
      <c r="Q108" s="531">
        <f t="shared" si="30"/>
        <v>0</v>
      </c>
      <c r="R108" s="482">
        <f t="shared" si="31"/>
        <v>1</v>
      </c>
    </row>
    <row r="109" spans="1:19" ht="15.6" hidden="1">
      <c r="A109" s="483" t="s">
        <v>243</v>
      </c>
      <c r="B109" s="484"/>
      <c r="C109" s="528"/>
      <c r="D109" s="530" t="e">
        <f>D97*2</f>
        <v>#REF!</v>
      </c>
      <c r="E109" s="530">
        <f>E97*2</f>
        <v>30234436</v>
      </c>
      <c r="F109" s="530">
        <f>F97*2</f>
        <v>0</v>
      </c>
      <c r="G109" s="528"/>
      <c r="H109" s="528"/>
      <c r="I109" s="530" t="e">
        <f>I97*2</f>
        <v>#REF!</v>
      </c>
      <c r="J109" s="528"/>
      <c r="K109" s="530" t="e">
        <f t="shared" ref="K109" si="32">K97*2</f>
        <v>#REF!</v>
      </c>
      <c r="L109" s="530" t="e">
        <f>L97*2</f>
        <v>#REF!</v>
      </c>
      <c r="M109" s="528"/>
      <c r="N109" s="528"/>
      <c r="O109" s="528"/>
      <c r="P109" s="528"/>
      <c r="Q109" s="531" t="e">
        <f t="shared" si="30"/>
        <v>#REF!</v>
      </c>
      <c r="R109" s="482">
        <f t="shared" si="31"/>
        <v>6</v>
      </c>
    </row>
    <row r="110" spans="1:19" ht="15.6" hidden="1">
      <c r="A110" s="483" t="s">
        <v>244</v>
      </c>
      <c r="B110" s="484"/>
      <c r="C110" s="528"/>
      <c r="D110" s="528"/>
      <c r="E110" s="528"/>
      <c r="F110" s="528"/>
      <c r="G110" s="528"/>
      <c r="H110" s="528"/>
      <c r="I110" s="530">
        <f>I98*2</f>
        <v>23017418</v>
      </c>
      <c r="J110" s="530">
        <f>J98*2</f>
        <v>16840608</v>
      </c>
      <c r="K110" s="530">
        <f>K98*2</f>
        <v>27664790</v>
      </c>
      <c r="L110" s="528"/>
      <c r="M110" s="528"/>
      <c r="N110" s="528"/>
      <c r="O110" s="528"/>
      <c r="P110" s="528"/>
      <c r="Q110" s="531">
        <f t="shared" si="30"/>
        <v>67522816</v>
      </c>
      <c r="R110" s="482">
        <f t="shared" si="31"/>
        <v>3</v>
      </c>
    </row>
    <row r="111" spans="1:19" ht="15.6" hidden="1">
      <c r="A111" s="483" t="s">
        <v>245</v>
      </c>
      <c r="B111" s="484"/>
      <c r="C111" s="528"/>
      <c r="D111" s="530">
        <f>D99*2</f>
        <v>2385374</v>
      </c>
      <c r="E111" s="530">
        <f>E99*2</f>
        <v>49293514</v>
      </c>
      <c r="F111" s="528"/>
      <c r="G111" s="528"/>
      <c r="H111" s="530">
        <f>H99*2</f>
        <v>3670502</v>
      </c>
      <c r="I111" s="530">
        <f>I99*2</f>
        <v>32499042</v>
      </c>
      <c r="J111" s="530">
        <f>J99*2</f>
        <v>5472386</v>
      </c>
      <c r="K111" s="530">
        <f>K99*2</f>
        <v>4672494</v>
      </c>
      <c r="L111" s="528"/>
      <c r="M111" s="528"/>
      <c r="N111" s="528"/>
      <c r="O111" s="528"/>
      <c r="P111" s="528"/>
      <c r="Q111" s="531">
        <f t="shared" si="30"/>
        <v>97993312</v>
      </c>
      <c r="R111" s="482">
        <f t="shared" si="31"/>
        <v>6</v>
      </c>
    </row>
    <row r="112" spans="1:19" ht="15.6" hidden="1">
      <c r="A112" s="483" t="s">
        <v>246</v>
      </c>
      <c r="B112" s="484"/>
      <c r="C112" s="528"/>
      <c r="D112" s="528"/>
      <c r="E112" s="530">
        <f>E100*2</f>
        <v>45825022</v>
      </c>
      <c r="F112" s="530">
        <f>F100*2</f>
        <v>46595144</v>
      </c>
      <c r="G112" s="528"/>
      <c r="H112" s="528"/>
      <c r="I112" s="530">
        <f>I100*2</f>
        <v>45735868</v>
      </c>
      <c r="J112" s="528"/>
      <c r="K112" s="528"/>
      <c r="L112" s="528"/>
      <c r="M112" s="528"/>
      <c r="N112" s="528"/>
      <c r="O112" s="528"/>
      <c r="P112" s="528"/>
      <c r="Q112" s="531">
        <f t="shared" si="30"/>
        <v>138156034</v>
      </c>
      <c r="R112" s="482">
        <f t="shared" si="31"/>
        <v>3</v>
      </c>
    </row>
    <row r="113" spans="1:19" ht="15.6" hidden="1">
      <c r="A113" s="490" t="s">
        <v>247</v>
      </c>
      <c r="B113" s="487"/>
      <c r="C113" s="530">
        <f t="shared" ref="C113:D113" si="33">C101*2</f>
        <v>85007420</v>
      </c>
      <c r="D113" s="530" t="e">
        <f t="shared" si="33"/>
        <v>#REF!</v>
      </c>
      <c r="E113" s="530">
        <f>E101*2</f>
        <v>89520274</v>
      </c>
      <c r="F113" s="530" t="e">
        <f>F101*2</f>
        <v>#REF!</v>
      </c>
      <c r="G113" s="528"/>
      <c r="H113" s="528"/>
      <c r="I113" s="530">
        <f>I101*2</f>
        <v>77292804</v>
      </c>
      <c r="J113" s="530">
        <f>J101*2</f>
        <v>86112610</v>
      </c>
      <c r="K113" s="532">
        <f t="shared" ref="K113" si="34">K101*2</f>
        <v>70846420</v>
      </c>
      <c r="L113" s="532">
        <f>L101*2</f>
        <v>41352472</v>
      </c>
      <c r="M113" s="532">
        <f t="shared" ref="M113:O113" si="35">M101*2</f>
        <v>17959314</v>
      </c>
      <c r="N113" s="532">
        <f t="shared" si="35"/>
        <v>19801296</v>
      </c>
      <c r="O113" s="532">
        <f t="shared" si="35"/>
        <v>11051886</v>
      </c>
      <c r="P113" s="532"/>
      <c r="Q113" s="533" t="e">
        <f t="shared" si="30"/>
        <v>#REF!</v>
      </c>
      <c r="R113" s="482">
        <f t="shared" si="31"/>
        <v>10</v>
      </c>
    </row>
    <row r="114" spans="1:19" ht="15.6" hidden="1">
      <c r="A114" s="483" t="s">
        <v>283</v>
      </c>
      <c r="B114" s="488"/>
      <c r="C114" s="534">
        <f t="shared" ref="C114:Q114" si="36">SUM(C106:C113)</f>
        <v>111056738</v>
      </c>
      <c r="D114" s="534" t="e">
        <f t="shared" si="36"/>
        <v>#REF!</v>
      </c>
      <c r="E114" s="534">
        <f t="shared" si="36"/>
        <v>227054428</v>
      </c>
      <c r="F114" s="534" t="e">
        <f t="shared" si="36"/>
        <v>#REF!</v>
      </c>
      <c r="G114" s="534">
        <f t="shared" si="36"/>
        <v>7553556</v>
      </c>
      <c r="H114" s="534">
        <f t="shared" si="36"/>
        <v>4695984</v>
      </c>
      <c r="I114" s="534" t="e">
        <f t="shared" si="36"/>
        <v>#REF!</v>
      </c>
      <c r="J114" s="534">
        <f t="shared" si="36"/>
        <v>131948676</v>
      </c>
      <c r="K114" s="534" t="e">
        <f t="shared" si="36"/>
        <v>#REF!</v>
      </c>
      <c r="L114" s="534" t="e">
        <f t="shared" si="36"/>
        <v>#REF!</v>
      </c>
      <c r="M114" s="534">
        <f t="shared" si="36"/>
        <v>17959314</v>
      </c>
      <c r="N114" s="534">
        <f t="shared" si="36"/>
        <v>19801296</v>
      </c>
      <c r="O114" s="534">
        <f t="shared" si="36"/>
        <v>11051886</v>
      </c>
      <c r="P114" s="534"/>
      <c r="Q114" s="535" t="e">
        <f t="shared" si="36"/>
        <v>#REF!</v>
      </c>
      <c r="R114" s="489"/>
    </row>
    <row r="115" spans="1:19" ht="15" hidden="1">
      <c r="A115" s="515"/>
      <c r="B115" s="516"/>
      <c r="C115" s="516"/>
      <c r="D115" s="516"/>
      <c r="E115" s="516"/>
      <c r="F115" s="516"/>
      <c r="G115" s="454"/>
      <c r="J115" s="522"/>
      <c r="K115" s="454"/>
      <c r="L115" s="454"/>
      <c r="M115" s="454"/>
      <c r="N115" s="454"/>
      <c r="O115" s="454"/>
      <c r="P115" s="454"/>
      <c r="Q115" s="537" t="e">
        <f>IF(Q114&lt;&gt;'I&amp;O Calc'!U346,"Error","")</f>
        <v>#REF!</v>
      </c>
      <c r="R115" s="454"/>
      <c r="S115" s="523"/>
    </row>
    <row r="116" spans="1:19" ht="15" hidden="1">
      <c r="A116" s="515"/>
      <c r="B116" s="516"/>
      <c r="C116" s="516"/>
      <c r="D116" s="516"/>
      <c r="E116" s="516"/>
      <c r="F116" s="516"/>
      <c r="G116" s="454"/>
      <c r="J116" s="522"/>
      <c r="K116" s="454"/>
      <c r="L116" s="454"/>
      <c r="M116" s="454"/>
      <c r="N116" s="454"/>
      <c r="O116" s="454"/>
      <c r="P116" s="454"/>
      <c r="Q116" s="454"/>
      <c r="R116" s="454"/>
      <c r="S116" s="523"/>
    </row>
    <row r="117" spans="1:19" ht="15" hidden="1">
      <c r="B117" s="516"/>
      <c r="C117" s="516"/>
      <c r="D117" s="516"/>
      <c r="E117" s="516"/>
      <c r="F117" s="516"/>
      <c r="G117" s="454"/>
      <c r="J117" s="522"/>
      <c r="K117" s="454"/>
      <c r="L117" s="454"/>
      <c r="M117" s="454"/>
      <c r="N117" s="454"/>
      <c r="O117" s="454"/>
      <c r="P117" s="454"/>
      <c r="Q117" s="454"/>
      <c r="R117" s="454"/>
      <c r="S117" s="523"/>
    </row>
    <row r="118" spans="1:19" s="519" customFormat="1" hidden="1"/>
    <row r="119" spans="1:19" ht="15.6" hidden="1">
      <c r="A119" s="521"/>
    </row>
    <row r="120" spans="1:19" ht="102" hidden="1" customHeight="1">
      <c r="A120" s="472" t="s">
        <v>240</v>
      </c>
      <c r="B120" s="456"/>
      <c r="C120" s="473" t="str">
        <f t="shared" ref="C120:O120" si="37">C$22</f>
        <v>The University of Texas Southwestern Medical Center</v>
      </c>
      <c r="D120" s="473" t="str">
        <f t="shared" si="37"/>
        <v>The University of Texas Medical Branch at Galveston</v>
      </c>
      <c r="E120" s="473" t="str">
        <f t="shared" si="37"/>
        <v>The University of Texas Health Science Center at Houston</v>
      </c>
      <c r="F120" s="473" t="str">
        <f t="shared" si="37"/>
        <v>The University of Texas Health Science Center at San Antonio</v>
      </c>
      <c r="G120" s="473" t="str">
        <f t="shared" si="37"/>
        <v>The University of Texas M.D. Anderson Cancer Center</v>
      </c>
      <c r="H120" s="473" t="str">
        <f t="shared" si="37"/>
        <v>The University of Texas Health Center at Tyler</v>
      </c>
      <c r="I120" s="473" t="str">
        <f t="shared" si="37"/>
        <v xml:space="preserve">Texas A&amp;M University System Health Science Center </v>
      </c>
      <c r="J120" s="473" t="str">
        <f t="shared" si="37"/>
        <v>University of North Texas Health Sciences Center at Fort Worth</v>
      </c>
      <c r="K120" s="473" t="str">
        <f t="shared" si="37"/>
        <v xml:space="preserve">Texas Tech University System Health Sciences Center </v>
      </c>
      <c r="L120" s="473" t="str">
        <f t="shared" si="37"/>
        <v>Texas Tech University System Health Sciences Center at El Paso</v>
      </c>
      <c r="M120" s="473" t="str">
        <f t="shared" si="37"/>
        <v>The University of Texas Medical School</v>
      </c>
      <c r="N120" s="473" t="str">
        <f t="shared" si="37"/>
        <v>The University of Texas Rio Grande Valley</v>
      </c>
      <c r="O120" s="473" t="str">
        <f t="shared" si="37"/>
        <v>University of Houston Medical School</v>
      </c>
      <c r="P120" s="473"/>
      <c r="Q120" s="473" t="s">
        <v>265</v>
      </c>
      <c r="R120" s="476" t="s">
        <v>266</v>
      </c>
    </row>
    <row r="121" spans="1:19" ht="15.75" hidden="1" customHeight="1">
      <c r="A121" s="521" t="s">
        <v>282</v>
      </c>
      <c r="B121" s="524"/>
      <c r="C121" s="476"/>
      <c r="D121" s="476"/>
      <c r="E121" s="525"/>
      <c r="F121" s="476"/>
      <c r="G121" s="476"/>
      <c r="H121" s="476"/>
      <c r="I121" s="476"/>
      <c r="J121" s="476"/>
      <c r="K121" s="476"/>
      <c r="L121" s="476"/>
      <c r="M121" s="476"/>
      <c r="N121" s="476"/>
      <c r="O121" s="476"/>
      <c r="P121" s="476"/>
      <c r="Q121" s="473"/>
      <c r="R121" s="476"/>
    </row>
    <row r="122" spans="1:19" ht="15.6" hidden="1">
      <c r="A122" s="477" t="s">
        <v>274</v>
      </c>
      <c r="B122" s="478"/>
      <c r="C122" s="526">
        <f>ROUND(('I&amp;O Calc'!$F$12/30)*'I&amp;O Calc'!N12*'I&amp;O Calc'!O6,0)</f>
        <v>0</v>
      </c>
      <c r="D122" s="526">
        <f>ROUND(('I&amp;O Calc'!$F$19/30)*'I&amp;O Calc'!N19*'I&amp;O Calc'!O6,0)</f>
        <v>667862</v>
      </c>
      <c r="E122" s="526" t="e">
        <f>ROUND(('I&amp;O Calc'!#REF!/30)*'I&amp;O Calc'!N34*'I&amp;O Calc'!O6,0)</f>
        <v>#REF!</v>
      </c>
      <c r="F122" s="526" t="e">
        <f>ROUND(('I&amp;O Calc'!$F$69/30)*'I&amp;O Calc'!N68*'I&amp;O Calc'!O6,0)+'I&amp;O Calc'!#REF!</f>
        <v>#REF!</v>
      </c>
      <c r="G122" s="526">
        <f>ROUND(('I&amp;O Calc'!$F$78/30)*'I&amp;O Calc'!N78*'I&amp;O Calc'!O6,0)+'I&amp;O Calc'!Q78</f>
        <v>3486897</v>
      </c>
      <c r="H122" s="527"/>
      <c r="I122" s="526">
        <f>ROUND(('I&amp;O Calc'!$F$107/30)*'I&amp;O Calc'!N107*'I&amp;O Calc'!O6,0)+'I&amp;O Calc'!Q107</f>
        <v>1521068</v>
      </c>
      <c r="J122" s="526">
        <f>ROUND(('I&amp;O Calc'!$F$132/30)*'I&amp;O Calc'!N132*'I&amp;O Calc'!O6,0)</f>
        <v>0</v>
      </c>
      <c r="K122" s="526">
        <f>ROUND(('I&amp;O Calc'!$F$154/30)*'I&amp;O Calc'!$N$150*'I&amp;O Calc'!$O$6,0)-5</f>
        <v>2656264</v>
      </c>
      <c r="L122" s="527"/>
      <c r="M122" s="527"/>
      <c r="N122" s="527"/>
      <c r="O122" s="527"/>
      <c r="P122" s="527"/>
      <c r="Q122" s="526" t="e">
        <f>SUM(C122:O122)</f>
        <v>#REF!</v>
      </c>
      <c r="R122" s="482">
        <f t="shared" ref="R122:R124" si="38">COUNTA(C122:N122)</f>
        <v>8</v>
      </c>
    </row>
    <row r="123" spans="1:19" ht="15.6" hidden="1">
      <c r="A123" s="477" t="s">
        <v>275</v>
      </c>
      <c r="B123" s="478"/>
      <c r="C123" s="526">
        <f>ROUND(('I&amp;O Calc'!$I$12/24)*'I&amp;O Calc'!N12*'I&amp;O Calc'!O6,0)-32</f>
        <v>4930212</v>
      </c>
      <c r="D123" s="526">
        <f>ROUND(('I&amp;O Calc'!$I$19/24)*'I&amp;O Calc'!N19*'I&amp;O Calc'!O6,0)</f>
        <v>8953401</v>
      </c>
      <c r="E123" s="526"/>
      <c r="F123" s="526" t="e">
        <f>ROUND(('I&amp;O Calc'!$I$69/24)*'I&amp;O Calc'!N68*'I&amp;O Calc'!O6,0)+'I&amp;O Calc'!#REF!+96</f>
        <v>#REF!</v>
      </c>
      <c r="G123" s="526">
        <f>ROUND(('I&amp;O Calc'!$I$78/24)*'I&amp;O Calc'!N78*'I&amp;O Calc'!O6,0)+15</f>
        <v>289863</v>
      </c>
      <c r="H123" s="527"/>
      <c r="I123" s="526">
        <f>ROUND(('I&amp;O Calc'!$I$107/24)*'I&amp;O Calc'!N107*'I&amp;O Calc'!O6,0)</f>
        <v>0</v>
      </c>
      <c r="J123" s="526">
        <f>ROUND(('I&amp;O Calc'!$I$132/24)*'I&amp;O Calc'!N132*'I&amp;O Calc'!O6,0)+'I&amp;O Calc'!Q132-32</f>
        <v>5610023</v>
      </c>
      <c r="K123" s="526">
        <f>ROUND(('I&amp;O Calc'!$I$154/24)*'I&amp;O Calc'!$N$150*'I&amp;O Calc'!$O$6,0)+'I&amp;O Calc'!I157+'I&amp;O Calc'!I159</f>
        <v>15876911</v>
      </c>
      <c r="L123" s="527"/>
      <c r="M123" s="527"/>
      <c r="N123" s="527"/>
      <c r="O123" s="527"/>
      <c r="P123" s="527"/>
      <c r="Q123" s="526" t="e">
        <f t="shared" ref="Q123:Q124" si="39">SUM(C123:O123)</f>
        <v>#REF!</v>
      </c>
      <c r="R123" s="482">
        <f t="shared" si="38"/>
        <v>7</v>
      </c>
    </row>
    <row r="124" spans="1:19" ht="15.6" hidden="1">
      <c r="A124" s="477" t="s">
        <v>276</v>
      </c>
      <c r="B124" s="478"/>
      <c r="C124" s="526">
        <f>ROUND(('I&amp;O Calc'!$L$12/18)*'I&amp;O Calc'!N12*'I&amp;O Calc'!O6,0)</f>
        <v>160399</v>
      </c>
      <c r="D124" s="526">
        <f>ROUND(('I&amp;O Calc'!$L$19/18)*'I&amp;O Calc'!N19*'I&amp;O Calc'!O6,0)+43</f>
        <v>3754882</v>
      </c>
      <c r="E124" s="526"/>
      <c r="F124" s="526">
        <f>ROUND(('I&amp;O Calc'!$L$69/18)*'I&amp;O Calc'!N68*'I&amp;O Calc'!O6,0)</f>
        <v>3183754</v>
      </c>
      <c r="G124" s="526">
        <f>ROUND(('I&amp;O Calc'!$L$78/18)*'I&amp;O Calc'!N78*'I&amp;O Calc'!O6,0)</f>
        <v>0</v>
      </c>
      <c r="H124" s="527"/>
      <c r="I124" s="526">
        <f>ROUND(('I&amp;O Calc'!$L$107/18)*'I&amp;O Calc'!N107*'I&amp;O Calc'!O6,0)</f>
        <v>0</v>
      </c>
      <c r="J124" s="526">
        <f>ROUND(('I&amp;O Calc'!$L$132/18)*'I&amp;O Calc'!N132*'I&amp;O Calc'!O6,0)</f>
        <v>0</v>
      </c>
      <c r="K124" s="526">
        <f>ROUND(('I&amp;O Calc'!$L$154/18)*'I&amp;O Calc'!N150*'I&amp;O Calc'!O6,0)+'I&amp;O Calc'!L157+'I&amp;O Calc'!L159</f>
        <v>3313473</v>
      </c>
      <c r="L124" s="527"/>
      <c r="M124" s="527"/>
      <c r="N124" s="527"/>
      <c r="O124" s="527"/>
      <c r="P124" s="527"/>
      <c r="Q124" s="526">
        <f t="shared" si="39"/>
        <v>10412508</v>
      </c>
      <c r="R124" s="482">
        <f t="shared" si="38"/>
        <v>7</v>
      </c>
    </row>
    <row r="125" spans="1:19" ht="15" hidden="1">
      <c r="C125" s="534">
        <f t="shared" ref="C125:Q125" si="40">SUM(C122:C124)</f>
        <v>5090611</v>
      </c>
      <c r="D125" s="534">
        <f t="shared" si="40"/>
        <v>13376145</v>
      </c>
      <c r="E125" s="534" t="e">
        <f t="shared" si="40"/>
        <v>#REF!</v>
      </c>
      <c r="F125" s="534" t="e">
        <f t="shared" si="40"/>
        <v>#REF!</v>
      </c>
      <c r="G125" s="534">
        <f t="shared" si="40"/>
        <v>3776760</v>
      </c>
      <c r="H125" s="534">
        <f t="shared" si="40"/>
        <v>0</v>
      </c>
      <c r="I125" s="534">
        <f t="shared" si="40"/>
        <v>1521068</v>
      </c>
      <c r="J125" s="534">
        <f t="shared" si="40"/>
        <v>5610023</v>
      </c>
      <c r="K125" s="534">
        <f t="shared" ref="K125" si="41">SUM(K122:K124)</f>
        <v>21846648</v>
      </c>
      <c r="L125" s="534">
        <f t="shared" si="40"/>
        <v>0</v>
      </c>
      <c r="M125" s="534">
        <f t="shared" ref="M125:O125" si="42">SUM(M122:M124)</f>
        <v>0</v>
      </c>
      <c r="N125" s="534">
        <f t="shared" si="42"/>
        <v>0</v>
      </c>
      <c r="O125" s="534">
        <f t="shared" si="42"/>
        <v>0</v>
      </c>
      <c r="P125" s="534"/>
      <c r="Q125" s="534" t="e">
        <f t="shared" si="40"/>
        <v>#REF!</v>
      </c>
    </row>
    <row r="126" spans="1:19" ht="15" hidden="1">
      <c r="C126" s="505" t="str">
        <f t="shared" ref="C126:Q126" si="43">IF(C125&lt;&gt;C94,"Error","")</f>
        <v>Error</v>
      </c>
      <c r="D126" s="505" t="str">
        <f t="shared" si="43"/>
        <v>Error</v>
      </c>
      <c r="E126" s="505" t="e">
        <f t="shared" si="43"/>
        <v>#REF!</v>
      </c>
      <c r="F126" s="505" t="e">
        <f t="shared" si="43"/>
        <v>#REF!</v>
      </c>
      <c r="G126" s="505" t="str">
        <f t="shared" si="43"/>
        <v>Error</v>
      </c>
      <c r="H126" s="505" t="str">
        <f t="shared" si="43"/>
        <v/>
      </c>
      <c r="I126" s="505" t="str">
        <f t="shared" si="43"/>
        <v>Error</v>
      </c>
      <c r="J126" s="505" t="str">
        <f t="shared" si="43"/>
        <v>Error</v>
      </c>
      <c r="K126" s="505" t="str">
        <f t="shared" si="43"/>
        <v>Error</v>
      </c>
      <c r="L126" s="505" t="str">
        <f t="shared" si="43"/>
        <v/>
      </c>
      <c r="M126" s="505" t="str">
        <f t="shared" si="43"/>
        <v/>
      </c>
      <c r="N126" s="505" t="str">
        <f t="shared" si="43"/>
        <v/>
      </c>
      <c r="O126" s="505" t="str">
        <f t="shared" si="43"/>
        <v/>
      </c>
      <c r="P126" s="505"/>
      <c r="Q126" s="505" t="e">
        <f t="shared" si="43"/>
        <v>#REF!</v>
      </c>
    </row>
    <row r="127" spans="1:19" hidden="1">
      <c r="C127" s="538">
        <f>C125-C94</f>
        <v>-27</v>
      </c>
      <c r="D127" s="538">
        <f t="shared" ref="D127:Q127" si="44">D125-D94</f>
        <v>81</v>
      </c>
      <c r="E127" s="538" t="e">
        <f t="shared" si="44"/>
        <v>#REF!</v>
      </c>
      <c r="F127" s="538" t="e">
        <f t="shared" si="44"/>
        <v>#REF!</v>
      </c>
      <c r="G127" s="538">
        <f t="shared" si="44"/>
        <v>-18</v>
      </c>
      <c r="H127" s="538">
        <f t="shared" si="44"/>
        <v>0</v>
      </c>
      <c r="I127" s="538">
        <f t="shared" si="44"/>
        <v>32</v>
      </c>
      <c r="J127" s="538">
        <f t="shared" si="44"/>
        <v>-16</v>
      </c>
      <c r="K127" s="538">
        <f t="shared" si="44"/>
        <v>44</v>
      </c>
      <c r="L127" s="538">
        <f t="shared" si="44"/>
        <v>0</v>
      </c>
      <c r="M127" s="538">
        <f t="shared" si="44"/>
        <v>0</v>
      </c>
      <c r="N127" s="538">
        <f t="shared" si="44"/>
        <v>0</v>
      </c>
      <c r="O127" s="538">
        <f t="shared" si="44"/>
        <v>0</v>
      </c>
      <c r="P127" s="538"/>
      <c r="Q127" s="538" t="e">
        <f t="shared" si="44"/>
        <v>#REF!</v>
      </c>
    </row>
    <row r="128" spans="1:19" ht="15.6" hidden="1">
      <c r="A128" s="521" t="s">
        <v>283</v>
      </c>
    </row>
    <row r="129" spans="1:18" ht="15.6" hidden="1">
      <c r="A129" s="477" t="s">
        <v>274</v>
      </c>
      <c r="B129" s="478"/>
      <c r="C129" s="526">
        <f>C122*2</f>
        <v>0</v>
      </c>
      <c r="D129" s="526">
        <f t="shared" ref="D129:G129" si="45">D122*2</f>
        <v>1335724</v>
      </c>
      <c r="E129" s="526" t="e">
        <f t="shared" si="45"/>
        <v>#REF!</v>
      </c>
      <c r="F129" s="526" t="e">
        <f t="shared" si="45"/>
        <v>#REF!</v>
      </c>
      <c r="G129" s="526">
        <f t="shared" si="45"/>
        <v>6973794</v>
      </c>
      <c r="H129" s="527"/>
      <c r="I129" s="526">
        <f t="shared" ref="I129:K131" si="46">I122*2</f>
        <v>3042136</v>
      </c>
      <c r="J129" s="526">
        <f t="shared" si="46"/>
        <v>0</v>
      </c>
      <c r="K129" s="526">
        <f t="shared" si="46"/>
        <v>5312528</v>
      </c>
      <c r="L129" s="527"/>
      <c r="M129" s="527"/>
      <c r="N129" s="527"/>
      <c r="O129" s="527"/>
      <c r="P129" s="527"/>
      <c r="Q129" s="526" t="e">
        <f t="shared" ref="Q129:Q131" si="47">SUM(C129:O129)</f>
        <v>#REF!</v>
      </c>
      <c r="R129" s="482">
        <f t="shared" ref="R129:R131" si="48">COUNTA(C129:N129)</f>
        <v>8</v>
      </c>
    </row>
    <row r="130" spans="1:18" ht="15.6" hidden="1">
      <c r="A130" s="477" t="s">
        <v>275</v>
      </c>
      <c r="B130" s="478"/>
      <c r="C130" s="526">
        <f t="shared" ref="C130:G131" si="49">C123*2</f>
        <v>9860424</v>
      </c>
      <c r="D130" s="526">
        <f t="shared" si="49"/>
        <v>17906802</v>
      </c>
      <c r="E130" s="526">
        <f t="shared" si="49"/>
        <v>0</v>
      </c>
      <c r="F130" s="526" t="e">
        <f t="shared" si="49"/>
        <v>#REF!</v>
      </c>
      <c r="G130" s="526">
        <f t="shared" si="49"/>
        <v>579726</v>
      </c>
      <c r="H130" s="527"/>
      <c r="I130" s="526">
        <f t="shared" si="46"/>
        <v>0</v>
      </c>
      <c r="J130" s="526">
        <f t="shared" si="46"/>
        <v>11220046</v>
      </c>
      <c r="K130" s="526">
        <f t="shared" si="46"/>
        <v>31753822</v>
      </c>
      <c r="L130" s="527"/>
      <c r="M130" s="527"/>
      <c r="N130" s="527"/>
      <c r="O130" s="527"/>
      <c r="P130" s="527"/>
      <c r="Q130" s="526" t="e">
        <f t="shared" si="47"/>
        <v>#REF!</v>
      </c>
      <c r="R130" s="482">
        <f t="shared" si="48"/>
        <v>8</v>
      </c>
    </row>
    <row r="131" spans="1:18" ht="15.6" hidden="1">
      <c r="A131" s="477" t="s">
        <v>276</v>
      </c>
      <c r="B131" s="478"/>
      <c r="C131" s="526">
        <f t="shared" si="49"/>
        <v>320798</v>
      </c>
      <c r="D131" s="526">
        <f t="shared" si="49"/>
        <v>7509764</v>
      </c>
      <c r="E131" s="526">
        <f t="shared" si="49"/>
        <v>0</v>
      </c>
      <c r="F131" s="526">
        <f t="shared" si="49"/>
        <v>6367508</v>
      </c>
      <c r="G131" s="526">
        <f t="shared" si="49"/>
        <v>0</v>
      </c>
      <c r="H131" s="527"/>
      <c r="I131" s="526">
        <f t="shared" si="46"/>
        <v>0</v>
      </c>
      <c r="J131" s="526">
        <f t="shared" si="46"/>
        <v>0</v>
      </c>
      <c r="K131" s="526">
        <f t="shared" si="46"/>
        <v>6626946</v>
      </c>
      <c r="L131" s="527"/>
      <c r="M131" s="527"/>
      <c r="N131" s="527"/>
      <c r="O131" s="527"/>
      <c r="P131" s="527"/>
      <c r="Q131" s="526">
        <f t="shared" si="47"/>
        <v>20825016</v>
      </c>
      <c r="R131" s="482">
        <f t="shared" si="48"/>
        <v>8</v>
      </c>
    </row>
    <row r="132" spans="1:18" ht="15" hidden="1">
      <c r="C132" s="534">
        <f t="shared" ref="C132:Q132" si="50">SUM(C129:C131)</f>
        <v>10181222</v>
      </c>
      <c r="D132" s="534">
        <f t="shared" si="50"/>
        <v>26752290</v>
      </c>
      <c r="E132" s="534" t="e">
        <f t="shared" si="50"/>
        <v>#REF!</v>
      </c>
      <c r="F132" s="534" t="e">
        <f t="shared" si="50"/>
        <v>#REF!</v>
      </c>
      <c r="G132" s="534">
        <f t="shared" si="50"/>
        <v>7553520</v>
      </c>
      <c r="H132" s="534">
        <f t="shared" si="50"/>
        <v>0</v>
      </c>
      <c r="I132" s="534">
        <f t="shared" si="50"/>
        <v>3042136</v>
      </c>
      <c r="J132" s="534">
        <f t="shared" si="50"/>
        <v>11220046</v>
      </c>
      <c r="K132" s="534">
        <f t="shared" si="50"/>
        <v>43693296</v>
      </c>
      <c r="L132" s="534">
        <f t="shared" si="50"/>
        <v>0</v>
      </c>
      <c r="M132" s="534">
        <f t="shared" si="50"/>
        <v>0</v>
      </c>
      <c r="N132" s="534">
        <f t="shared" si="50"/>
        <v>0</v>
      </c>
      <c r="O132" s="534">
        <f t="shared" si="50"/>
        <v>0</v>
      </c>
      <c r="P132" s="534"/>
      <c r="Q132" s="534" t="e">
        <f t="shared" si="50"/>
        <v>#REF!</v>
      </c>
    </row>
    <row r="133" spans="1:18" ht="15" hidden="1">
      <c r="C133" s="505" t="str">
        <f t="shared" ref="C133:Q133" si="51">IF(C132&lt;&gt;C106,"Error","")</f>
        <v>Error</v>
      </c>
      <c r="D133" s="505" t="str">
        <f t="shared" si="51"/>
        <v>Error</v>
      </c>
      <c r="E133" s="505" t="e">
        <f t="shared" si="51"/>
        <v>#REF!</v>
      </c>
      <c r="F133" s="505" t="e">
        <f t="shared" si="51"/>
        <v>#REF!</v>
      </c>
      <c r="G133" s="505" t="str">
        <f t="shared" si="51"/>
        <v>Error</v>
      </c>
      <c r="H133" s="505" t="str">
        <f t="shared" si="51"/>
        <v/>
      </c>
      <c r="I133" s="505" t="str">
        <f t="shared" si="51"/>
        <v>Error</v>
      </c>
      <c r="J133" s="505" t="str">
        <f t="shared" si="51"/>
        <v>Error</v>
      </c>
      <c r="K133" s="505" t="str">
        <f t="shared" si="51"/>
        <v>Error</v>
      </c>
      <c r="L133" s="505" t="str">
        <f t="shared" si="51"/>
        <v/>
      </c>
      <c r="M133" s="505" t="str">
        <f t="shared" si="51"/>
        <v/>
      </c>
      <c r="N133" s="505" t="str">
        <f t="shared" si="51"/>
        <v/>
      </c>
      <c r="O133" s="505" t="str">
        <f t="shared" si="51"/>
        <v/>
      </c>
      <c r="P133" s="505"/>
      <c r="Q133" s="505" t="e">
        <f t="shared" si="51"/>
        <v>#REF!</v>
      </c>
    </row>
    <row r="134" spans="1:18" hidden="1">
      <c r="C134" s="538">
        <f>C132-C106</f>
        <v>-54</v>
      </c>
      <c r="D134" s="538">
        <f t="shared" ref="D134:Q134" si="52">D132-D106</f>
        <v>162</v>
      </c>
      <c r="E134" s="538" t="e">
        <f t="shared" si="52"/>
        <v>#REF!</v>
      </c>
      <c r="F134" s="538" t="e">
        <f t="shared" si="52"/>
        <v>#REF!</v>
      </c>
      <c r="G134" s="538">
        <f t="shared" si="52"/>
        <v>-36</v>
      </c>
      <c r="H134" s="538">
        <f t="shared" si="52"/>
        <v>0</v>
      </c>
      <c r="I134" s="538">
        <f t="shared" si="52"/>
        <v>64</v>
      </c>
      <c r="J134" s="538">
        <f t="shared" si="52"/>
        <v>-32</v>
      </c>
      <c r="K134" s="538">
        <f t="shared" si="52"/>
        <v>88</v>
      </c>
      <c r="L134" s="538">
        <f t="shared" si="52"/>
        <v>0</v>
      </c>
      <c r="M134" s="538">
        <f t="shared" si="52"/>
        <v>0</v>
      </c>
      <c r="N134" s="538">
        <f t="shared" si="52"/>
        <v>0</v>
      </c>
      <c r="O134" s="538">
        <f t="shared" si="52"/>
        <v>0</v>
      </c>
      <c r="P134" s="538"/>
      <c r="Q134" s="538" t="e">
        <f t="shared" si="52"/>
        <v>#REF!</v>
      </c>
    </row>
    <row r="135" spans="1:18" ht="15" hidden="1">
      <c r="D135" s="489"/>
      <c r="E135" s="489"/>
      <c r="F135" s="489"/>
      <c r="I135" s="489"/>
      <c r="K135" s="489"/>
      <c r="L135" s="489"/>
      <c r="M135" s="489"/>
      <c r="N135" s="489"/>
      <c r="O135" s="489"/>
      <c r="P135" s="489"/>
      <c r="Q135" s="489"/>
    </row>
    <row r="136" spans="1:18" s="519" customFormat="1" hidden="1"/>
    <row r="137" spans="1:18" ht="15.6" hidden="1">
      <c r="A137" s="521"/>
      <c r="B137" s="506"/>
      <c r="C137" s="506"/>
      <c r="D137" s="506"/>
      <c r="E137" s="506"/>
      <c r="F137" s="506"/>
      <c r="G137" s="454"/>
    </row>
    <row r="138" spans="1:18" ht="99" hidden="1" customHeight="1">
      <c r="A138" s="472" t="s">
        <v>243</v>
      </c>
      <c r="B138" s="456"/>
      <c r="C138" s="473" t="str">
        <f t="shared" ref="C138:O138" si="53">C$22</f>
        <v>The University of Texas Southwestern Medical Center</v>
      </c>
      <c r="D138" s="473" t="str">
        <f t="shared" si="53"/>
        <v>The University of Texas Medical Branch at Galveston</v>
      </c>
      <c r="E138" s="473" t="str">
        <f t="shared" si="53"/>
        <v>The University of Texas Health Science Center at Houston</v>
      </c>
      <c r="F138" s="473" t="str">
        <f t="shared" si="53"/>
        <v>The University of Texas Health Science Center at San Antonio</v>
      </c>
      <c r="G138" s="473" t="str">
        <f t="shared" si="53"/>
        <v>The University of Texas M.D. Anderson Cancer Center</v>
      </c>
      <c r="H138" s="473" t="str">
        <f t="shared" si="53"/>
        <v>The University of Texas Health Center at Tyler</v>
      </c>
      <c r="I138" s="473" t="str">
        <f t="shared" si="53"/>
        <v xml:space="preserve">Texas A&amp;M University System Health Science Center </v>
      </c>
      <c r="J138" s="473" t="str">
        <f t="shared" si="53"/>
        <v>University of North Texas Health Sciences Center at Fort Worth</v>
      </c>
      <c r="K138" s="473" t="str">
        <f t="shared" si="53"/>
        <v xml:space="preserve">Texas Tech University System Health Sciences Center </v>
      </c>
      <c r="L138" s="473" t="str">
        <f t="shared" si="53"/>
        <v>Texas Tech University System Health Sciences Center at El Paso</v>
      </c>
      <c r="M138" s="473" t="str">
        <f t="shared" si="53"/>
        <v>The University of Texas Medical School</v>
      </c>
      <c r="N138" s="473" t="str">
        <f t="shared" si="53"/>
        <v>The University of Texas Rio Grande Valley</v>
      </c>
      <c r="O138" s="473" t="str">
        <f t="shared" si="53"/>
        <v>University of Houston Medical School</v>
      </c>
      <c r="P138" s="473"/>
      <c r="Q138" s="473" t="s">
        <v>265</v>
      </c>
      <c r="R138" s="476" t="s">
        <v>266</v>
      </c>
    </row>
    <row r="139" spans="1:18" ht="15.75" hidden="1" customHeight="1">
      <c r="A139" s="521" t="s">
        <v>282</v>
      </c>
      <c r="B139" s="539"/>
      <c r="C139" s="476"/>
      <c r="D139" s="476"/>
      <c r="E139" s="525"/>
      <c r="F139" s="476"/>
      <c r="G139" s="476"/>
      <c r="H139" s="476"/>
      <c r="I139" s="476"/>
      <c r="J139" s="476"/>
      <c r="K139" s="476"/>
      <c r="L139" s="476"/>
      <c r="M139" s="476"/>
      <c r="N139" s="476"/>
      <c r="O139" s="476"/>
      <c r="P139" s="476"/>
      <c r="Q139" s="473"/>
      <c r="R139" s="476"/>
    </row>
    <row r="140" spans="1:18" ht="15.6" hidden="1">
      <c r="A140" s="507" t="s">
        <v>278</v>
      </c>
      <c r="B140" s="508"/>
      <c r="C140" s="528"/>
      <c r="D140" s="526">
        <f>ROUND(('I&amp;O Calc'!$S$20),2)</f>
        <v>11961159.619999999</v>
      </c>
      <c r="E140" s="526">
        <f>ROUND(('I&amp;O Calc'!$F$39/30)*'I&amp;O Calc'!N39*'I&amp;O Calc'!O6,2)</f>
        <v>7182032.1299999999</v>
      </c>
      <c r="F140" s="526">
        <f>ROUND(('I&amp;O Calc'!$F$71/30)*'I&amp;O Calc'!N71*'I&amp;O Calc'!O6,2)</f>
        <v>7006358.6399999997</v>
      </c>
      <c r="G140" s="528"/>
      <c r="H140" s="528"/>
      <c r="I140" s="540">
        <f>ROUND(('I&amp;O Calc'!$F$112/30)*'I&amp;O Calc'!N109*'I&amp;O Calc'!O6,2)+'I&amp;O Calc'!Q112-18.1</f>
        <v>5406957.0200000005</v>
      </c>
      <c r="J140" s="528"/>
      <c r="K140" s="540" t="e">
        <f>ROUND(('I&amp;O Calc'!$F$165/30)*'I&amp;O Calc'!N161*'I&amp;O Calc'!O6,2)+'I&amp;O Calc'!#REF!-12.42</f>
        <v>#REF!</v>
      </c>
      <c r="L140" s="540" t="e">
        <f>ROUND(('I&amp;O Calc'!$F$191/30)*'I&amp;O Calc'!N190*'I&amp;O Calc'!O6,2)+'I&amp;O Calc'!#REF!+18.51</f>
        <v>#REF!</v>
      </c>
      <c r="M140" s="527"/>
      <c r="N140" s="527"/>
      <c r="O140" s="527"/>
      <c r="P140" s="527"/>
      <c r="Q140" s="526" t="e">
        <f t="shared" ref="Q140:Q142" si="54">SUM(C140:O140)</f>
        <v>#REF!</v>
      </c>
      <c r="R140" s="482">
        <f t="shared" ref="R140:R142" si="55">COUNTA(C140:N140)</f>
        <v>6</v>
      </c>
    </row>
    <row r="141" spans="1:18" ht="15.6" hidden="1">
      <c r="A141" s="471" t="s">
        <v>279</v>
      </c>
      <c r="B141" s="508"/>
      <c r="C141" s="528"/>
      <c r="D141" s="526" t="e">
        <f>ROUND(('I&amp;O Calc'!$I$20/24)*'I&amp;O Calc'!#REF!*'I&amp;O Calc'!O6,2)</f>
        <v>#REF!</v>
      </c>
      <c r="E141" s="526">
        <f>ROUND(('I&amp;O Calc'!$I$41/24)*'I&amp;O Calc'!$N$40*'I&amp;O Calc'!O6,2)</f>
        <v>2988378.81</v>
      </c>
      <c r="F141" s="526" t="e">
        <f>ROUND(('I&amp;O Calc'!$I$71/24)*'I&amp;O Calc'!#REF!*'I&amp;O Calc'!O6,2)</f>
        <v>#REF!</v>
      </c>
      <c r="G141" s="528"/>
      <c r="H141" s="528"/>
      <c r="I141" s="526" t="e">
        <f>ROUND(('I&amp;O Calc'!#REF!/24)*'I&amp;O Calc'!N109*'I&amp;O Calc'!O6,2)</f>
        <v>#REF!</v>
      </c>
      <c r="J141" s="528"/>
      <c r="K141" s="540" t="e">
        <f>ROUND(('I&amp;O Calc'!#REF!/24)*'I&amp;O Calc'!#REF!*'I&amp;O Calc'!O6,2)+'I&amp;O Calc'!#REF!</f>
        <v>#REF!</v>
      </c>
      <c r="L141" s="540" t="e">
        <f>ROUND(('I&amp;O Calc'!#REF!/24)*'I&amp;O Calc'!#REF!*'I&amp;O Calc'!O6,2)+'I&amp;O Calc'!#REF!</f>
        <v>#REF!</v>
      </c>
      <c r="M141" s="527"/>
      <c r="N141" s="527"/>
      <c r="O141" s="527"/>
      <c r="P141" s="527"/>
      <c r="Q141" s="526" t="e">
        <f t="shared" si="54"/>
        <v>#REF!</v>
      </c>
      <c r="R141" s="482">
        <f t="shared" si="55"/>
        <v>6</v>
      </c>
    </row>
    <row r="142" spans="1:18" ht="15.6" hidden="1">
      <c r="A142" s="471" t="s">
        <v>280</v>
      </c>
      <c r="B142" s="508"/>
      <c r="C142" s="528"/>
      <c r="D142" s="526" t="e">
        <f>ROUND(('I&amp;O Calc'!#REF!/18)*'I&amp;O Calc'!#REF!*'I&amp;O Calc'!O6,2)-6.53</f>
        <v>#REF!</v>
      </c>
      <c r="E142" s="541">
        <f>ROUND(('I&amp;O Calc'!$L$41/18)*'I&amp;O Calc'!$N$40*'I&amp;O Calc'!O6,2)-30.63</f>
        <v>4946758.46</v>
      </c>
      <c r="F142" s="526" t="e">
        <f>ROUND(('I&amp;O Calc'!$L$71/18)*'I&amp;O Calc'!#REF!*'I&amp;O Calc'!O6,2)+24.69</f>
        <v>#REF!</v>
      </c>
      <c r="G142" s="528"/>
      <c r="H142" s="528"/>
      <c r="I142" s="526">
        <f>ROUND(('I&amp;O Calc'!$L$109/18)*'I&amp;O Calc'!N109*'I&amp;O Calc'!O6,2)</f>
        <v>125568.57</v>
      </c>
      <c r="J142" s="528"/>
      <c r="K142" s="540" t="e">
        <f>ROUND(('I&amp;O Calc'!#REF!/18)*'I&amp;O Calc'!#REF!*'I&amp;O Calc'!O6,2)+'I&amp;O Calc'!#REF!</f>
        <v>#REF!</v>
      </c>
      <c r="L142" s="526" t="e">
        <f>ROUND(('I&amp;O Calc'!#REF!/18)*'I&amp;O Calc'!#REF!*'I&amp;O Calc'!O6,2)+'I&amp;O Calc'!#REF!</f>
        <v>#REF!</v>
      </c>
      <c r="M142" s="527"/>
      <c r="N142" s="527"/>
      <c r="O142" s="527"/>
      <c r="P142" s="527"/>
      <c r="Q142" s="526" t="e">
        <f t="shared" si="54"/>
        <v>#REF!</v>
      </c>
      <c r="R142" s="482">
        <f t="shared" si="55"/>
        <v>6</v>
      </c>
    </row>
    <row r="143" spans="1:18" ht="15.6" hidden="1">
      <c r="A143" s="509"/>
      <c r="B143" s="509"/>
      <c r="C143" s="534"/>
      <c r="D143" s="534" t="e">
        <f>SUM(D140:D142)</f>
        <v>#REF!</v>
      </c>
      <c r="E143" s="534">
        <f>SUM(E140:E142)</f>
        <v>15117169.399999999</v>
      </c>
      <c r="F143" s="534" t="e">
        <f>SUM(F140:F142)</f>
        <v>#REF!</v>
      </c>
      <c r="G143" s="534"/>
      <c r="H143" s="534"/>
      <c r="I143" s="534" t="e">
        <f>SUM(I140:I142)</f>
        <v>#REF!</v>
      </c>
      <c r="J143" s="534"/>
      <c r="K143" s="534" t="e">
        <f>SUM(K140:K142)</f>
        <v>#REF!</v>
      </c>
      <c r="L143" s="534" t="e">
        <f>SUM(L140:L142)</f>
        <v>#REF!</v>
      </c>
      <c r="M143" s="534">
        <f t="shared" ref="M143:O143" si="56">SUM(M140:M142)</f>
        <v>0</v>
      </c>
      <c r="N143" s="534">
        <f t="shared" si="56"/>
        <v>0</v>
      </c>
      <c r="O143" s="534">
        <f t="shared" si="56"/>
        <v>0</v>
      </c>
      <c r="P143" s="534"/>
      <c r="Q143" s="534" t="e">
        <f>SUM(Q140:Q142)</f>
        <v>#REF!</v>
      </c>
      <c r="R143" s="510"/>
    </row>
    <row r="144" spans="1:18" ht="15.6" hidden="1">
      <c r="A144" s="509"/>
      <c r="B144" s="511"/>
      <c r="C144" s="511"/>
      <c r="D144" s="505" t="e">
        <f t="shared" ref="D144:Q144" si="57">IF(D143&lt;&gt;D97,"Error","")</f>
        <v>#REF!</v>
      </c>
      <c r="E144" s="505" t="str">
        <f t="shared" si="57"/>
        <v>Error</v>
      </c>
      <c r="F144" s="505" t="e">
        <f t="shared" si="57"/>
        <v>#REF!</v>
      </c>
      <c r="G144" s="512" t="str">
        <f t="shared" si="57"/>
        <v/>
      </c>
      <c r="H144" s="512" t="str">
        <f t="shared" si="57"/>
        <v/>
      </c>
      <c r="I144" s="505" t="e">
        <f t="shared" si="57"/>
        <v>#REF!</v>
      </c>
      <c r="J144" s="512" t="str">
        <f t="shared" si="57"/>
        <v/>
      </c>
      <c r="K144" s="505" t="e">
        <f t="shared" si="57"/>
        <v>#REF!</v>
      </c>
      <c r="L144" s="505" t="e">
        <f t="shared" si="57"/>
        <v>#REF!</v>
      </c>
      <c r="M144" s="505" t="str">
        <f t="shared" si="57"/>
        <v/>
      </c>
      <c r="N144" s="505" t="str">
        <f t="shared" si="57"/>
        <v/>
      </c>
      <c r="O144" s="505" t="str">
        <f t="shared" si="57"/>
        <v/>
      </c>
      <c r="P144" s="505"/>
      <c r="Q144" s="505" t="e">
        <f t="shared" si="57"/>
        <v>#REF!</v>
      </c>
    </row>
    <row r="145" spans="1:19" ht="15" hidden="1">
      <c r="D145" s="542" t="e">
        <f>D143-D97</f>
        <v>#REF!</v>
      </c>
      <c r="E145" s="542">
        <f t="shared" ref="E145:F145" si="58">E143-E97</f>
        <v>-48.600000001490116</v>
      </c>
      <c r="F145" s="542" t="e">
        <f t="shared" si="58"/>
        <v>#REF!</v>
      </c>
      <c r="G145" s="542"/>
      <c r="I145" s="542" t="e">
        <f>I143-I97</f>
        <v>#REF!</v>
      </c>
      <c r="J145" s="543"/>
      <c r="K145" s="542" t="e">
        <f t="shared" ref="K145:Q145" si="59">K143-K97</f>
        <v>#REF!</v>
      </c>
      <c r="L145" s="542" t="e">
        <f t="shared" si="59"/>
        <v>#REF!</v>
      </c>
      <c r="M145" s="542">
        <f t="shared" si="59"/>
        <v>0</v>
      </c>
      <c r="N145" s="542">
        <f t="shared" si="59"/>
        <v>0</v>
      </c>
      <c r="O145" s="542">
        <f t="shared" si="59"/>
        <v>0</v>
      </c>
      <c r="P145" s="542"/>
      <c r="Q145" s="542" t="e">
        <f t="shared" si="59"/>
        <v>#REF!</v>
      </c>
      <c r="R145" s="454"/>
      <c r="S145" s="454"/>
    </row>
    <row r="146" spans="1:19" ht="15.6" hidden="1">
      <c r="A146" s="521" t="s">
        <v>283</v>
      </c>
      <c r="B146" s="506"/>
      <c r="C146" s="506"/>
      <c r="D146" s="506"/>
      <c r="E146" s="506"/>
      <c r="F146" s="506"/>
      <c r="G146" s="454"/>
    </row>
    <row r="147" spans="1:19" ht="15.6" hidden="1">
      <c r="A147" s="507" t="s">
        <v>278</v>
      </c>
      <c r="B147" s="508"/>
      <c r="C147" s="528"/>
      <c r="D147" s="526">
        <f>D140*2</f>
        <v>23922319.239999998</v>
      </c>
      <c r="E147" s="526">
        <f t="shared" ref="E147:F149" si="60">E140*2</f>
        <v>14364064.26</v>
      </c>
      <c r="F147" s="526">
        <f t="shared" si="60"/>
        <v>14012717.279999999</v>
      </c>
      <c r="G147" s="528"/>
      <c r="H147" s="528"/>
      <c r="I147" s="526">
        <f>I140*2</f>
        <v>10813914.040000001</v>
      </c>
      <c r="J147" s="528"/>
      <c r="K147" s="526" t="e">
        <f t="shared" ref="K147:L149" si="61">K140*2</f>
        <v>#REF!</v>
      </c>
      <c r="L147" s="526" t="e">
        <f t="shared" si="61"/>
        <v>#REF!</v>
      </c>
      <c r="M147" s="527"/>
      <c r="N147" s="527"/>
      <c r="O147" s="527"/>
      <c r="P147" s="527"/>
      <c r="Q147" s="526" t="e">
        <f t="shared" ref="Q147:Q149" si="62">SUM(C147:O147)</f>
        <v>#REF!</v>
      </c>
      <c r="R147" s="482">
        <f t="shared" ref="R147:R149" si="63">COUNTA(C147:N147)</f>
        <v>6</v>
      </c>
    </row>
    <row r="148" spans="1:19" ht="15.6" hidden="1">
      <c r="A148" s="471" t="s">
        <v>279</v>
      </c>
      <c r="B148" s="508"/>
      <c r="C148" s="528"/>
      <c r="D148" s="526" t="e">
        <f>D141*2</f>
        <v>#REF!</v>
      </c>
      <c r="E148" s="526">
        <f t="shared" si="60"/>
        <v>5976757.6200000001</v>
      </c>
      <c r="F148" s="526" t="e">
        <f t="shared" si="60"/>
        <v>#REF!</v>
      </c>
      <c r="G148" s="528"/>
      <c r="H148" s="528"/>
      <c r="I148" s="526" t="e">
        <f>I141*2</f>
        <v>#REF!</v>
      </c>
      <c r="J148" s="528"/>
      <c r="K148" s="526" t="e">
        <f t="shared" si="61"/>
        <v>#REF!</v>
      </c>
      <c r="L148" s="526" t="e">
        <f t="shared" si="61"/>
        <v>#REF!</v>
      </c>
      <c r="M148" s="527"/>
      <c r="N148" s="527"/>
      <c r="O148" s="527"/>
      <c r="P148" s="527"/>
      <c r="Q148" s="526" t="e">
        <f t="shared" si="62"/>
        <v>#REF!</v>
      </c>
      <c r="R148" s="482">
        <f t="shared" si="63"/>
        <v>6</v>
      </c>
    </row>
    <row r="149" spans="1:19" ht="15.6" hidden="1">
      <c r="A149" s="471" t="s">
        <v>280</v>
      </c>
      <c r="B149" s="508"/>
      <c r="C149" s="528"/>
      <c r="D149" s="526" t="e">
        <f>D142*2</f>
        <v>#REF!</v>
      </c>
      <c r="E149" s="526">
        <f t="shared" si="60"/>
        <v>9893516.9199999999</v>
      </c>
      <c r="F149" s="526" t="e">
        <f t="shared" si="60"/>
        <v>#REF!</v>
      </c>
      <c r="G149" s="528"/>
      <c r="H149" s="528"/>
      <c r="I149" s="526">
        <f>I142*2</f>
        <v>251137.14</v>
      </c>
      <c r="J149" s="528"/>
      <c r="K149" s="526" t="e">
        <f t="shared" si="61"/>
        <v>#REF!</v>
      </c>
      <c r="L149" s="526" t="e">
        <f t="shared" si="61"/>
        <v>#REF!</v>
      </c>
      <c r="M149" s="527"/>
      <c r="N149" s="527"/>
      <c r="O149" s="527"/>
      <c r="P149" s="527"/>
      <c r="Q149" s="526" t="e">
        <f t="shared" si="62"/>
        <v>#REF!</v>
      </c>
      <c r="R149" s="482">
        <f t="shared" si="63"/>
        <v>6</v>
      </c>
    </row>
    <row r="150" spans="1:19" ht="15.6" hidden="1">
      <c r="A150" s="509"/>
      <c r="B150" s="509"/>
      <c r="C150" s="534"/>
      <c r="D150" s="534" t="e">
        <f>SUM(D147:D149)</f>
        <v>#REF!</v>
      </c>
      <c r="E150" s="534">
        <f>SUM(E147:E149)</f>
        <v>30234338.799999997</v>
      </c>
      <c r="F150" s="534" t="e">
        <f>SUM(F147:F149)</f>
        <v>#REF!</v>
      </c>
      <c r="G150" s="534"/>
      <c r="H150" s="534"/>
      <c r="I150" s="534" t="e">
        <f>SUM(I147:I149)</f>
        <v>#REF!</v>
      </c>
      <c r="J150" s="534"/>
      <c r="K150" s="534" t="e">
        <f>SUM(K147:K149)</f>
        <v>#REF!</v>
      </c>
      <c r="L150" s="534" t="e">
        <f>SUM(L147:L149)</f>
        <v>#REF!</v>
      </c>
      <c r="M150" s="534">
        <f t="shared" ref="M150:O150" si="64">SUM(M147:M149)</f>
        <v>0</v>
      </c>
      <c r="N150" s="534">
        <f t="shared" si="64"/>
        <v>0</v>
      </c>
      <c r="O150" s="534">
        <f t="shared" si="64"/>
        <v>0</v>
      </c>
      <c r="P150" s="534"/>
      <c r="Q150" s="534" t="e">
        <f>SUM(Q147:Q149)</f>
        <v>#REF!</v>
      </c>
      <c r="R150" s="510"/>
    </row>
    <row r="151" spans="1:19" ht="15.6" hidden="1">
      <c r="A151" s="509"/>
      <c r="B151" s="511"/>
      <c r="C151" s="489"/>
      <c r="D151" s="505" t="e">
        <f t="shared" ref="D151:Q151" si="65">IF(D150&lt;&gt;D109,"Error","")</f>
        <v>#REF!</v>
      </c>
      <c r="E151" s="505" t="str">
        <f t="shared" si="65"/>
        <v>Error</v>
      </c>
      <c r="F151" s="505" t="e">
        <f t="shared" si="65"/>
        <v>#REF!</v>
      </c>
      <c r="G151" s="512" t="str">
        <f t="shared" si="65"/>
        <v/>
      </c>
      <c r="H151" s="512" t="str">
        <f t="shared" si="65"/>
        <v/>
      </c>
      <c r="I151" s="505" t="e">
        <f t="shared" si="65"/>
        <v>#REF!</v>
      </c>
      <c r="J151" s="512" t="str">
        <f t="shared" si="65"/>
        <v/>
      </c>
      <c r="K151" s="505" t="e">
        <f t="shared" si="65"/>
        <v>#REF!</v>
      </c>
      <c r="L151" s="505" t="e">
        <f t="shared" si="65"/>
        <v>#REF!</v>
      </c>
      <c r="M151" s="505" t="str">
        <f t="shared" si="65"/>
        <v/>
      </c>
      <c r="N151" s="505" t="str">
        <f t="shared" si="65"/>
        <v/>
      </c>
      <c r="O151" s="505" t="str">
        <f t="shared" si="65"/>
        <v/>
      </c>
      <c r="P151" s="505"/>
      <c r="Q151" s="505" t="e">
        <f t="shared" si="65"/>
        <v>#REF!</v>
      </c>
    </row>
    <row r="152" spans="1:19" ht="15" hidden="1">
      <c r="C152" s="538"/>
      <c r="D152" s="538" t="e">
        <f>D150-D109</f>
        <v>#REF!</v>
      </c>
      <c r="E152" s="538">
        <f t="shared" ref="E152:F152" si="66">E150-E109</f>
        <v>-97.200000002980232</v>
      </c>
      <c r="F152" s="538" t="e">
        <f t="shared" si="66"/>
        <v>#REF!</v>
      </c>
      <c r="G152" s="538"/>
      <c r="H152" s="538"/>
      <c r="I152" s="538" t="e">
        <f>I150-I109</f>
        <v>#REF!</v>
      </c>
      <c r="J152" s="544"/>
      <c r="K152" s="538" t="e">
        <f t="shared" ref="K152:Q152" si="67">K150-K109</f>
        <v>#REF!</v>
      </c>
      <c r="L152" s="538" t="e">
        <f t="shared" si="67"/>
        <v>#REF!</v>
      </c>
      <c r="M152" s="538">
        <f t="shared" si="67"/>
        <v>0</v>
      </c>
      <c r="N152" s="538">
        <f t="shared" si="67"/>
        <v>0</v>
      </c>
      <c r="O152" s="538">
        <f t="shared" si="67"/>
        <v>0</v>
      </c>
      <c r="P152" s="538"/>
      <c r="Q152" s="538" t="e">
        <f t="shared" si="67"/>
        <v>#REF!</v>
      </c>
      <c r="R152" s="454"/>
      <c r="S152" s="543"/>
    </row>
    <row r="153" spans="1:19" s="519" customFormat="1" hidden="1"/>
    <row r="154" spans="1:19" ht="15" hidden="1">
      <c r="J154" s="515"/>
      <c r="K154" s="454"/>
      <c r="L154" s="454"/>
      <c r="M154" s="454"/>
      <c r="N154" s="454"/>
      <c r="O154" s="454"/>
      <c r="P154" s="454"/>
      <c r="Q154" s="454"/>
      <c r="R154" s="454"/>
      <c r="S154" s="545"/>
    </row>
    <row r="155" spans="1:19" ht="15" hidden="1">
      <c r="J155" s="515"/>
      <c r="K155" s="454"/>
      <c r="L155" s="454"/>
      <c r="M155" s="454"/>
      <c r="N155" s="454"/>
      <c r="O155" s="454"/>
      <c r="P155" s="454"/>
      <c r="Q155" s="454"/>
      <c r="R155" s="454"/>
      <c r="S155" s="545"/>
    </row>
    <row r="156" spans="1:19" ht="15" hidden="1">
      <c r="J156" s="515"/>
      <c r="K156" s="454"/>
      <c r="L156" s="454"/>
      <c r="M156" s="454"/>
      <c r="N156" s="454"/>
      <c r="O156" s="454"/>
      <c r="P156" s="454"/>
      <c r="Q156" s="454"/>
      <c r="R156" s="454"/>
      <c r="S156" s="545"/>
    </row>
    <row r="157" spans="1:19" hidden="1">
      <c r="J157" s="454"/>
      <c r="K157" s="454"/>
      <c r="L157" s="454"/>
      <c r="M157" s="454"/>
      <c r="N157" s="454"/>
      <c r="O157" s="454"/>
      <c r="P157" s="454"/>
      <c r="Q157" s="454"/>
      <c r="R157" s="454"/>
      <c r="S157" s="454"/>
    </row>
    <row r="158" spans="1:19">
      <c r="J158" s="454"/>
      <c r="K158" s="454"/>
      <c r="L158" s="454"/>
      <c r="M158" s="454"/>
      <c r="N158" s="454"/>
      <c r="O158" s="454"/>
      <c r="P158" s="454"/>
      <c r="Q158" s="454"/>
      <c r="R158" s="454"/>
      <c r="S158" s="454"/>
    </row>
    <row r="159" spans="1:19">
      <c r="J159" s="454"/>
      <c r="K159" s="454"/>
      <c r="L159" s="454"/>
      <c r="M159" s="454"/>
      <c r="N159" s="454"/>
      <c r="O159" s="454"/>
      <c r="P159" s="454"/>
      <c r="Q159" s="454"/>
      <c r="R159" s="454"/>
      <c r="S159" s="454"/>
    </row>
  </sheetData>
  <mergeCells count="1">
    <mergeCell ref="A50:F50"/>
  </mergeCells>
  <pageMargins left="0.2" right="0.2" top="0.5" bottom="0.5" header="0.3" footer="0.3"/>
  <pageSetup scale="70" orientation="landscape" horizontalDpi="1200" verticalDpi="12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63EE-6327-47C2-AC8B-A8ECA303E3A5}">
  <sheetPr>
    <tabColor theme="5" tint="0.79998168889431442"/>
    <pageSetUpPr fitToPage="1"/>
  </sheetPr>
  <dimension ref="A1:V369"/>
  <sheetViews>
    <sheetView showGridLines="0" zoomScale="80" zoomScaleNormal="80" workbookViewId="0">
      <pane xSplit="3" ySplit="8" topLeftCell="D9" activePane="bottomRight" state="frozen"/>
      <selection activeCell="M7" sqref="M7:N7"/>
      <selection pane="topRight" activeCell="M7" sqref="M7:N7"/>
      <selection pane="bottomLeft" activeCell="M7" sqref="M7:N7"/>
      <selection pane="bottomRight"/>
    </sheetView>
  </sheetViews>
  <sheetFormatPr defaultColWidth="9.109375" defaultRowHeight="13.5" customHeight="1" outlineLevelRow="1"/>
  <cols>
    <col min="1" max="1" width="41.109375" style="547" customWidth="1"/>
    <col min="2" max="2" width="8.44140625" style="547" customWidth="1"/>
    <col min="3" max="3" width="10" style="547" customWidth="1"/>
    <col min="4" max="5" width="10" style="548" customWidth="1"/>
    <col min="6" max="6" width="12.6640625" style="547" customWidth="1"/>
    <col min="7" max="7" width="17" style="547" customWidth="1"/>
    <col min="8" max="8" width="15" style="547" customWidth="1"/>
    <col min="9" max="9" width="14.6640625" style="547" customWidth="1"/>
    <col min="10" max="10" width="10.109375" style="547" customWidth="1"/>
    <col min="11" max="11" width="10" style="547" customWidth="1"/>
    <col min="12" max="12" width="13.6640625" style="547" customWidth="1"/>
    <col min="13" max="13" width="15" style="571" customWidth="1"/>
    <col min="14" max="14" width="9.6640625" style="577" customWidth="1"/>
    <col min="15" max="15" width="24.5546875" style="547" customWidth="1"/>
    <col min="16" max="16" width="3.6640625" style="562" customWidth="1"/>
    <col min="17" max="17" width="19.6640625" style="547" customWidth="1"/>
    <col min="18" max="18" width="2.88671875" style="554" customWidth="1"/>
    <col min="19" max="19" width="27.6640625" style="547" customWidth="1"/>
    <col min="20" max="20" width="23.6640625" style="547" customWidth="1"/>
    <col min="21" max="21" width="24.109375" style="547" customWidth="1"/>
    <col min="22" max="22" width="20" style="547" customWidth="1"/>
    <col min="23" max="23" width="9.109375" style="547"/>
    <col min="24" max="24" width="10.109375" style="547" bestFit="1" customWidth="1"/>
    <col min="25" max="16384" width="9.109375" style="547"/>
  </cols>
  <sheetData>
    <row r="1" spans="1:22" ht="26.25" customHeight="1">
      <c r="A1" s="546" t="s">
        <v>284</v>
      </c>
      <c r="M1" s="549" t="s">
        <v>285</v>
      </c>
      <c r="N1" s="550"/>
      <c r="O1" s="551"/>
      <c r="P1" s="552"/>
      <c r="Q1" s="553"/>
      <c r="S1" s="555">
        <v>45135</v>
      </c>
    </row>
    <row r="2" spans="1:22" ht="22.8">
      <c r="A2" s="556" t="s">
        <v>286</v>
      </c>
      <c r="G2" s="557"/>
      <c r="H2" s="558"/>
      <c r="I2" s="559"/>
      <c r="L2" s="560"/>
      <c r="M2" s="561"/>
      <c r="N2" s="562"/>
      <c r="O2" s="563"/>
      <c r="P2" s="558"/>
      <c r="Q2" s="564"/>
      <c r="R2" s="563"/>
      <c r="S2" s="563"/>
      <c r="T2" s="949"/>
      <c r="U2" s="949"/>
    </row>
    <row r="3" spans="1:22" ht="24.6">
      <c r="A3" s="556" t="s">
        <v>110</v>
      </c>
      <c r="F3" s="565"/>
      <c r="G3" s="565"/>
      <c r="H3" s="565"/>
      <c r="I3" s="565"/>
      <c r="J3" s="565"/>
      <c r="K3" s="565"/>
      <c r="L3" s="565"/>
      <c r="M3" s="565"/>
      <c r="N3" s="562"/>
      <c r="O3" s="563"/>
      <c r="P3" s="558"/>
      <c r="Q3" s="564"/>
      <c r="R3" s="566"/>
      <c r="S3" s="567"/>
      <c r="T3" s="554"/>
      <c r="U3" s="554"/>
    </row>
    <row r="4" spans="1:22" ht="32.4" thickBot="1">
      <c r="A4" s="568" t="s">
        <v>287</v>
      </c>
      <c r="F4" s="569" t="s">
        <v>288</v>
      </c>
      <c r="G4" s="950" t="s">
        <v>289</v>
      </c>
      <c r="H4" s="951"/>
      <c r="I4" s="570" t="s">
        <v>290</v>
      </c>
      <c r="J4" s="558"/>
      <c r="L4" s="570" t="s">
        <v>290</v>
      </c>
      <c r="N4" s="558"/>
      <c r="O4" s="572"/>
      <c r="P4" s="558"/>
      <c r="Q4" s="558"/>
      <c r="R4" s="558"/>
      <c r="S4" s="573"/>
      <c r="T4" s="558"/>
      <c r="U4" s="558"/>
    </row>
    <row r="5" spans="1:22" ht="33" customHeight="1">
      <c r="A5" s="568" t="s">
        <v>291</v>
      </c>
      <c r="F5" s="574" t="s">
        <v>292</v>
      </c>
      <c r="G5" s="575" t="s">
        <v>293</v>
      </c>
      <c r="H5" s="575" t="s">
        <v>293</v>
      </c>
      <c r="I5" s="576" t="s">
        <v>292</v>
      </c>
      <c r="J5" s="557"/>
      <c r="K5" s="575"/>
      <c r="L5" s="574" t="s">
        <v>292</v>
      </c>
      <c r="O5" s="578" t="s">
        <v>294</v>
      </c>
      <c r="Q5" s="579" t="s">
        <v>295</v>
      </c>
      <c r="R5" s="580"/>
      <c r="S5" s="581"/>
      <c r="T5" s="582"/>
      <c r="U5" s="583"/>
    </row>
    <row r="6" spans="1:22" ht="23.1" customHeight="1" thickBot="1">
      <c r="A6" s="575" t="s">
        <v>296</v>
      </c>
      <c r="F6" s="584">
        <v>30</v>
      </c>
      <c r="I6" s="584">
        <v>24</v>
      </c>
      <c r="J6" s="585"/>
      <c r="K6" s="586"/>
      <c r="L6" s="587">
        <v>18</v>
      </c>
      <c r="O6" s="588">
        <v>9688.5174829999996</v>
      </c>
      <c r="Q6" s="589" t="s">
        <v>297</v>
      </c>
      <c r="R6" s="590"/>
      <c r="S6" s="591"/>
      <c r="T6" s="952" t="s">
        <v>37</v>
      </c>
      <c r="U6" s="953"/>
    </row>
    <row r="7" spans="1:22" ht="69.75" customHeight="1" thickBot="1">
      <c r="A7" s="592"/>
      <c r="B7" s="593" t="s">
        <v>298</v>
      </c>
      <c r="C7" s="593" t="s">
        <v>299</v>
      </c>
      <c r="D7" s="594"/>
      <c r="E7" s="594"/>
      <c r="F7" s="595" t="s">
        <v>234</v>
      </c>
      <c r="G7" s="595" t="s">
        <v>300</v>
      </c>
      <c r="H7" s="595" t="s">
        <v>236</v>
      </c>
      <c r="I7" s="595" t="s">
        <v>301</v>
      </c>
      <c r="J7" s="596" t="s">
        <v>302</v>
      </c>
      <c r="K7" s="597" t="s">
        <v>303</v>
      </c>
      <c r="L7" s="598" t="s">
        <v>238</v>
      </c>
      <c r="M7" s="595" t="s">
        <v>239</v>
      </c>
      <c r="N7" s="599" t="s">
        <v>304</v>
      </c>
      <c r="O7" s="600" t="s">
        <v>305</v>
      </c>
      <c r="P7" s="601"/>
      <c r="Q7" s="602" t="s">
        <v>306</v>
      </c>
      <c r="R7" s="596"/>
      <c r="S7" s="598" t="s">
        <v>307</v>
      </c>
      <c r="T7" s="603" t="s">
        <v>39</v>
      </c>
      <c r="U7" s="604" t="s">
        <v>40</v>
      </c>
      <c r="V7" s="574" t="s">
        <v>308</v>
      </c>
    </row>
    <row r="8" spans="1:22" ht="18" customHeight="1">
      <c r="D8" s="548" t="s">
        <v>309</v>
      </c>
      <c r="E8" s="548" t="s">
        <v>310</v>
      </c>
      <c r="F8" s="554">
        <v>5</v>
      </c>
      <c r="G8" s="554">
        <v>8</v>
      </c>
      <c r="H8" s="554">
        <v>9</v>
      </c>
      <c r="I8" s="554">
        <v>6</v>
      </c>
      <c r="J8" s="554">
        <v>7</v>
      </c>
      <c r="K8" s="554">
        <v>11</v>
      </c>
    </row>
    <row r="9" spans="1:22" ht="18" customHeight="1">
      <c r="A9" s="605" t="s">
        <v>311</v>
      </c>
      <c r="B9" s="606"/>
      <c r="C9" s="607"/>
      <c r="D9" s="608"/>
      <c r="E9" s="608"/>
      <c r="F9" s="606"/>
      <c r="G9" s="606"/>
      <c r="H9" s="606"/>
      <c r="I9" s="606"/>
    </row>
    <row r="10" spans="1:22" ht="18" customHeight="1">
      <c r="A10" s="609" t="s">
        <v>247</v>
      </c>
      <c r="B10" s="610" t="s">
        <v>312</v>
      </c>
      <c r="C10" s="610" t="s">
        <v>313</v>
      </c>
      <c r="D10" s="611" t="s">
        <v>314</v>
      </c>
      <c r="E10" s="611"/>
      <c r="F10" s="612"/>
      <c r="G10" s="613">
        <f>VLOOKUP($D$10,collegecode,8,FALSE)</f>
        <v>923</v>
      </c>
      <c r="H10" s="612"/>
      <c r="I10" s="612"/>
      <c r="J10" s="612"/>
      <c r="K10" s="612"/>
      <c r="L10" s="613">
        <f>J10-K10</f>
        <v>0</v>
      </c>
      <c r="M10" s="614">
        <f>ROUND(G10+H10+(F10/F$6)+(I10/I$6)+(L10/L$6),2)</f>
        <v>923</v>
      </c>
      <c r="N10" s="615">
        <f>VLOOKUP($B10,weights,2,FALSE)</f>
        <v>4.7530000000000001</v>
      </c>
      <c r="O10" s="616">
        <f>ROUND(M10*N10*$O$6,2)</f>
        <v>42503710.280000001</v>
      </c>
      <c r="P10" s="563" t="s">
        <v>315</v>
      </c>
      <c r="Q10" s="617"/>
      <c r="R10" s="570" t="s">
        <v>316</v>
      </c>
      <c r="S10" s="618">
        <f>Q10+O10</f>
        <v>42503710.280000001</v>
      </c>
      <c r="T10" s="617">
        <f>ROUND($S10,0)</f>
        <v>42503710</v>
      </c>
      <c r="U10" s="617">
        <f t="shared" ref="T10:U12" si="0">ROUND($S10,0)</f>
        <v>42503710</v>
      </c>
      <c r="V10" s="619">
        <f>T10+U10</f>
        <v>85007420</v>
      </c>
    </row>
    <row r="11" spans="1:22" ht="20.25" customHeight="1">
      <c r="A11" s="609" t="s">
        <v>241</v>
      </c>
      <c r="B11" s="610" t="s">
        <v>317</v>
      </c>
      <c r="C11" s="610" t="s">
        <v>318</v>
      </c>
      <c r="D11" s="611" t="s">
        <v>319</v>
      </c>
      <c r="E11" s="611"/>
      <c r="F11" s="612"/>
      <c r="G11" s="612"/>
      <c r="H11" s="612"/>
      <c r="I11" s="613">
        <f>VLOOKUP($D$11,collegecode,6,FALSE)</f>
        <v>4573</v>
      </c>
      <c r="J11" s="613">
        <f>VLOOKUP($D$11,collegecode,7,FALSE)</f>
        <v>12356</v>
      </c>
      <c r="K11" s="613">
        <f>VLOOKUP($D$11,collegecode,11,FALSE)</f>
        <v>1306</v>
      </c>
      <c r="L11" s="613">
        <f>J11-K11</f>
        <v>11050</v>
      </c>
      <c r="M11" s="614">
        <f>ROUND(G11+H11+(F11/F$6)+(I11/I$6)+(L11/L$6),2)</f>
        <v>804.43</v>
      </c>
      <c r="N11" s="615">
        <f>VLOOKUP($B11,weights,2,FALSE)</f>
        <v>1.018</v>
      </c>
      <c r="O11" s="620">
        <f>ROUND(M11*N11*$O$6,2)</f>
        <v>7934021.3300000001</v>
      </c>
      <c r="P11" s="563" t="s">
        <v>315</v>
      </c>
      <c r="Q11" s="621"/>
      <c r="R11" s="570" t="s">
        <v>316</v>
      </c>
      <c r="S11" s="622">
        <f>Q11+O11</f>
        <v>7934021.3300000001</v>
      </c>
      <c r="T11" s="623">
        <f t="shared" si="0"/>
        <v>7934021</v>
      </c>
      <c r="U11" s="623">
        <f t="shared" si="0"/>
        <v>7934021</v>
      </c>
      <c r="V11" s="619">
        <f t="shared" ref="V11:V74" si="1">T11+U11</f>
        <v>15868042</v>
      </c>
    </row>
    <row r="12" spans="1:22" ht="21.75" customHeight="1" thickBot="1">
      <c r="A12" s="624" t="s">
        <v>240</v>
      </c>
      <c r="B12" s="610" t="s">
        <v>320</v>
      </c>
      <c r="C12" s="610" t="s">
        <v>321</v>
      </c>
      <c r="D12" s="611" t="s">
        <v>322</v>
      </c>
      <c r="E12" s="611"/>
      <c r="F12" s="613">
        <f>VLOOKUP($D$12,collegecode,5,FALSE)</f>
        <v>0</v>
      </c>
      <c r="G12" s="612"/>
      <c r="H12" s="612"/>
      <c r="I12" s="613">
        <f>VLOOKUP($D$12,collegecode,6,FALSE)</f>
        <v>12213</v>
      </c>
      <c r="J12" s="613">
        <f>VLOOKUP($D$12,collegecode,7,FALSE)</f>
        <v>298</v>
      </c>
      <c r="K12" s="613">
        <f>VLOOKUP($D$12,collegecode,11,FALSE)</f>
        <v>0</v>
      </c>
      <c r="L12" s="613">
        <f>J12-K12</f>
        <v>298</v>
      </c>
      <c r="M12" s="625">
        <f>ROUND(G12+H12+(F12/F$6)+(I12/I$6)+(L12/L$6),2)</f>
        <v>525.42999999999995</v>
      </c>
      <c r="N12" s="615">
        <f>VLOOKUP($B12,weights,2,FALSE)</f>
        <v>1</v>
      </c>
      <c r="O12" s="620">
        <f>ROUND(M12*N12*$O$6,2)</f>
        <v>5090637.74</v>
      </c>
      <c r="P12" s="563" t="s">
        <v>315</v>
      </c>
      <c r="Q12" s="621"/>
      <c r="R12" s="570" t="s">
        <v>316</v>
      </c>
      <c r="S12" s="622">
        <f>Q12+O12</f>
        <v>5090637.74</v>
      </c>
      <c r="T12" s="623">
        <f t="shared" si="0"/>
        <v>5090638</v>
      </c>
      <c r="U12" s="623">
        <f t="shared" si="0"/>
        <v>5090638</v>
      </c>
      <c r="V12" s="619">
        <f t="shared" si="1"/>
        <v>10181276</v>
      </c>
    </row>
    <row r="13" spans="1:22" ht="18" customHeight="1" thickBot="1">
      <c r="A13" s="626" t="s">
        <v>323</v>
      </c>
      <c r="B13" s="627" t="s">
        <v>324</v>
      </c>
      <c r="C13" s="627" t="s">
        <v>325</v>
      </c>
      <c r="D13" s="628"/>
      <c r="E13" s="628"/>
      <c r="F13" s="629">
        <f>SUM(F10:F12)</f>
        <v>0</v>
      </c>
      <c r="G13" s="629">
        <f>SUM(G10:G12)</f>
        <v>923</v>
      </c>
      <c r="H13" s="629">
        <f t="shared" ref="H13" si="2">SUM(H10:H12)</f>
        <v>0</v>
      </c>
      <c r="I13" s="629">
        <f>SUM(I10:I12)</f>
        <v>16786</v>
      </c>
      <c r="J13" s="629">
        <f>SUM(J10:J12)</f>
        <v>12654</v>
      </c>
      <c r="K13" s="629">
        <f>SUM(K10:K12)</f>
        <v>1306</v>
      </c>
      <c r="L13" s="629">
        <f>SUM(L10:L12)</f>
        <v>11348</v>
      </c>
      <c r="M13" s="630">
        <f>SUM(M10:M12)</f>
        <v>2252.8599999999997</v>
      </c>
      <c r="N13" s="631"/>
      <c r="O13" s="632">
        <f>SUM(O10:O12)</f>
        <v>55528369.350000001</v>
      </c>
      <c r="P13" s="633"/>
      <c r="Q13" s="634">
        <f>SUM(Q10:Q12)</f>
        <v>0</v>
      </c>
      <c r="R13" s="635"/>
      <c r="S13" s="636">
        <f>SUM(S10:S12)</f>
        <v>55528369.350000001</v>
      </c>
      <c r="T13" s="637">
        <f>SUM(T10:T12)</f>
        <v>55528369</v>
      </c>
      <c r="U13" s="637">
        <f>SUM(U10:U12)</f>
        <v>55528369</v>
      </c>
      <c r="V13" s="619">
        <f t="shared" si="1"/>
        <v>111056738</v>
      </c>
    </row>
    <row r="14" spans="1:22" ht="18" customHeight="1">
      <c r="F14" s="638"/>
      <c r="G14" s="638"/>
      <c r="H14" s="638"/>
      <c r="I14" s="638"/>
      <c r="J14" s="638"/>
      <c r="K14" s="638"/>
      <c r="L14" s="638"/>
      <c r="M14" s="571" t="str">
        <f>IF(M13=NewData!Q9,"","Error")</f>
        <v/>
      </c>
      <c r="O14" s="639"/>
      <c r="V14" s="619"/>
    </row>
    <row r="15" spans="1:22" ht="18" customHeight="1">
      <c r="F15" s="548"/>
      <c r="G15" s="638"/>
      <c r="H15" s="638"/>
      <c r="I15" s="548"/>
      <c r="J15" s="548"/>
      <c r="L15" s="548"/>
      <c r="M15" s="640"/>
      <c r="O15" s="639"/>
      <c r="V15" s="619"/>
    </row>
    <row r="16" spans="1:22" ht="18" customHeight="1">
      <c r="A16" s="605" t="s">
        <v>326</v>
      </c>
      <c r="B16" s="606"/>
      <c r="C16" s="606"/>
      <c r="D16" s="641"/>
      <c r="E16" s="641"/>
      <c r="F16" s="642"/>
      <c r="G16" s="642"/>
      <c r="H16" s="642"/>
      <c r="I16" s="642"/>
      <c r="J16" s="638"/>
      <c r="K16" s="638"/>
      <c r="L16" s="638"/>
      <c r="O16" s="639"/>
      <c r="T16" s="619"/>
      <c r="V16" s="619"/>
    </row>
    <row r="17" spans="1:22" ht="18" customHeight="1">
      <c r="A17" s="610" t="s">
        <v>327</v>
      </c>
      <c r="B17" s="610" t="s">
        <v>312</v>
      </c>
      <c r="C17" s="610" t="s">
        <v>313</v>
      </c>
      <c r="D17" s="643" t="s">
        <v>328</v>
      </c>
      <c r="E17" s="644"/>
      <c r="F17" s="612"/>
      <c r="G17" s="613">
        <f>VLOOKUP($D$17,collegecode,8,FALSE)</f>
        <v>935</v>
      </c>
      <c r="H17" s="612"/>
      <c r="I17" s="612"/>
      <c r="J17" s="612"/>
      <c r="K17" s="612"/>
      <c r="L17" s="613">
        <f>J17-K17</f>
        <v>0</v>
      </c>
      <c r="M17" s="614">
        <f>ROUND(G17+H17+(F17/F$6)+(I17/I$6)+(L17/L$6),2)</f>
        <v>935</v>
      </c>
      <c r="N17" s="615">
        <f>VLOOKUP($B17,weights,2,FALSE)</f>
        <v>4.7530000000000001</v>
      </c>
      <c r="O17" s="616">
        <f>ROUND(M17*N17*$O$6,2)</f>
        <v>43056304.560000002</v>
      </c>
      <c r="P17" s="617" t="s">
        <v>315</v>
      </c>
      <c r="Q17" s="623"/>
      <c r="R17" s="570" t="s">
        <v>316</v>
      </c>
      <c r="S17" s="618">
        <f>Q17+O17</f>
        <v>43056304.560000002</v>
      </c>
      <c r="T17" s="623">
        <f>ROUND($S17,0)</f>
        <v>43056305</v>
      </c>
      <c r="U17" s="623">
        <f>ROUND($S17,0)</f>
        <v>43056305</v>
      </c>
      <c r="V17" s="619">
        <f t="shared" si="1"/>
        <v>86112610</v>
      </c>
    </row>
    <row r="18" spans="1:22" ht="18" customHeight="1">
      <c r="A18" s="609" t="s">
        <v>241</v>
      </c>
      <c r="B18" s="610" t="s">
        <v>317</v>
      </c>
      <c r="C18" s="610" t="s">
        <v>318</v>
      </c>
      <c r="D18" s="611" t="s">
        <v>329</v>
      </c>
      <c r="E18" s="611"/>
      <c r="F18" s="612"/>
      <c r="G18" s="612"/>
      <c r="H18" s="612"/>
      <c r="I18" s="613">
        <f>VLOOKUP($D$18,collegecode,6,FALSE)</f>
        <v>1122</v>
      </c>
      <c r="J18" s="613">
        <f>VLOOKUP($D$18,collegecode,7,FALSE)</f>
        <v>3900</v>
      </c>
      <c r="K18" s="613">
        <f>VLOOKUP($D$18,collegecode,11,FALSE)</f>
        <v>17</v>
      </c>
      <c r="L18" s="613">
        <f>J18-K18</f>
        <v>3883</v>
      </c>
      <c r="M18" s="614">
        <f>ROUND(G18+H18+(F18/F$6)+(I18/I$6)+(L18/L$6),2)</f>
        <v>262.47000000000003</v>
      </c>
      <c r="N18" s="615">
        <f>VLOOKUP($B18,weights,2,FALSE)</f>
        <v>1.018</v>
      </c>
      <c r="O18" s="620">
        <f>ROUND(M18*N18*$O$6,2)</f>
        <v>2588718.2000000002</v>
      </c>
      <c r="P18" s="623" t="s">
        <v>315</v>
      </c>
      <c r="Q18" s="619"/>
      <c r="R18" s="570" t="s">
        <v>316</v>
      </c>
      <c r="S18" s="622">
        <f>Q18+O18</f>
        <v>2588718.2000000002</v>
      </c>
      <c r="T18" s="623">
        <f t="shared" ref="T18:U21" si="3">ROUND($S18,0)</f>
        <v>2588718</v>
      </c>
      <c r="U18" s="623">
        <f t="shared" si="3"/>
        <v>2588718</v>
      </c>
      <c r="V18" s="619">
        <f t="shared" si="1"/>
        <v>5177436</v>
      </c>
    </row>
    <row r="19" spans="1:22" ht="18" customHeight="1">
      <c r="A19" s="609" t="s">
        <v>240</v>
      </c>
      <c r="B19" s="610" t="s">
        <v>320</v>
      </c>
      <c r="C19" s="610" t="s">
        <v>321</v>
      </c>
      <c r="D19" s="611" t="s">
        <v>330</v>
      </c>
      <c r="E19" s="611"/>
      <c r="F19" s="613">
        <f>VLOOKUP($D$19,collegecode,5,FALSE)</f>
        <v>2068</v>
      </c>
      <c r="G19" s="612"/>
      <c r="H19" s="612"/>
      <c r="I19" s="613">
        <f>VLOOKUP($D$19,collegecode,6,FALSE)</f>
        <v>22179</v>
      </c>
      <c r="J19" s="613">
        <f>VLOOKUP($D$19,collegecode,7,FALSE)</f>
        <v>7001</v>
      </c>
      <c r="K19" s="613">
        <f>VLOOKUP($D$19,collegecode,11,FALSE)</f>
        <v>25</v>
      </c>
      <c r="L19" s="613">
        <f>J19-K19</f>
        <v>6976</v>
      </c>
      <c r="M19" s="614">
        <f>ROUND(G19+H19+(F19/F$6)+(I19/I$6)+(L19/L$6),2)</f>
        <v>1380.61</v>
      </c>
      <c r="N19" s="615">
        <f>VLOOKUP($B19,weights,2,FALSE)</f>
        <v>1</v>
      </c>
      <c r="O19" s="620">
        <f>ROUND(M19*N19*$O$6,2)</f>
        <v>13376064.119999999</v>
      </c>
      <c r="P19" s="623" t="s">
        <v>315</v>
      </c>
      <c r="Q19" s="621"/>
      <c r="R19" s="570" t="s">
        <v>316</v>
      </c>
      <c r="S19" s="622">
        <f>Q19+O19</f>
        <v>13376064.119999999</v>
      </c>
      <c r="T19" s="623">
        <f t="shared" si="3"/>
        <v>13376064</v>
      </c>
      <c r="U19" s="623">
        <f t="shared" si="3"/>
        <v>13376064</v>
      </c>
      <c r="V19" s="619">
        <f t="shared" si="1"/>
        <v>26752128</v>
      </c>
    </row>
    <row r="20" spans="1:22" ht="18" customHeight="1">
      <c r="A20" s="645" t="s">
        <v>243</v>
      </c>
      <c r="B20" s="610" t="s">
        <v>331</v>
      </c>
      <c r="C20" s="610" t="s">
        <v>332</v>
      </c>
      <c r="D20" s="611" t="s">
        <v>333</v>
      </c>
      <c r="E20" s="611"/>
      <c r="F20" s="613">
        <f>VLOOKUP($D$20,collegecode,5,FALSE)</f>
        <v>20140</v>
      </c>
      <c r="G20" s="612"/>
      <c r="H20" s="612"/>
      <c r="I20" s="613">
        <f>VLOOKUP($D$20,collegecode,6,FALSE)</f>
        <v>7494</v>
      </c>
      <c r="J20" s="613">
        <f>VLOOKUP($D$20,collegecode,7,FALSE)</f>
        <v>1823</v>
      </c>
      <c r="K20" s="613">
        <f>VLOOKUP($D$20,collegecode,11,FALSE)</f>
        <v>0</v>
      </c>
      <c r="L20" s="613">
        <f>J20-K20</f>
        <v>1823</v>
      </c>
      <c r="M20" s="614">
        <f>ROUND(G20+H20+(F20/F$6)+(I20/I$6)+(L20/L$6),2)</f>
        <v>1084.8599999999999</v>
      </c>
      <c r="N20" s="615">
        <f>VLOOKUP($B20,weights,2,FALSE)</f>
        <v>1.1379999999999999</v>
      </c>
      <c r="O20" s="620">
        <f>ROUND(M20*N20*$O$6,2)</f>
        <v>11961159.619999999</v>
      </c>
      <c r="P20" s="623" t="s">
        <v>315</v>
      </c>
      <c r="Q20" s="623"/>
      <c r="R20" s="570" t="s">
        <v>316</v>
      </c>
      <c r="S20" s="646">
        <f>Q20+O20</f>
        <v>11961159.619999999</v>
      </c>
      <c r="T20" s="623">
        <f t="shared" si="3"/>
        <v>11961160</v>
      </c>
      <c r="U20" s="623">
        <f t="shared" si="3"/>
        <v>11961160</v>
      </c>
      <c r="V20" s="619">
        <f t="shared" si="1"/>
        <v>23922320</v>
      </c>
    </row>
    <row r="21" spans="1:22" ht="18" customHeight="1" thickBot="1">
      <c r="A21" s="645" t="s">
        <v>334</v>
      </c>
      <c r="B21" s="610" t="s">
        <v>335</v>
      </c>
      <c r="C21" s="610" t="s">
        <v>336</v>
      </c>
      <c r="D21" s="611" t="s">
        <v>337</v>
      </c>
      <c r="E21" s="611"/>
      <c r="F21" s="647"/>
      <c r="G21" s="612"/>
      <c r="H21" s="648"/>
      <c r="I21" s="613">
        <f>VLOOKUP($D$21,collegecode,6,FALSE)</f>
        <v>1114</v>
      </c>
      <c r="J21" s="613">
        <f>VLOOKUP($D$21,collegecode,7,FALSE)</f>
        <v>465</v>
      </c>
      <c r="K21" s="613">
        <f>VLOOKUP($D$21,collegecode,11,FALSE)</f>
        <v>13</v>
      </c>
      <c r="L21" s="613">
        <f>J21-K21</f>
        <v>452</v>
      </c>
      <c r="M21" s="625">
        <f>ROUND(G21+H21+(F21/F$6)+(I21/I$6)+(L21/L$6),2)</f>
        <v>71.53</v>
      </c>
      <c r="N21" s="615">
        <f>VLOOKUP($B21,weights,2,FALSE)</f>
        <v>1.7210000000000001</v>
      </c>
      <c r="O21" s="620">
        <f>ROUND(M21*N21*$O$6,2)</f>
        <v>1192686.83</v>
      </c>
      <c r="P21" s="623" t="s">
        <v>315</v>
      </c>
      <c r="Q21" s="621"/>
      <c r="R21" s="570"/>
      <c r="S21" s="646">
        <f>Q21+O21</f>
        <v>1192686.83</v>
      </c>
      <c r="T21" s="623">
        <f t="shared" si="3"/>
        <v>1192687</v>
      </c>
      <c r="U21" s="623">
        <f t="shared" si="3"/>
        <v>1192687</v>
      </c>
      <c r="V21" s="619">
        <f t="shared" si="1"/>
        <v>2385374</v>
      </c>
    </row>
    <row r="22" spans="1:22" ht="18" customHeight="1" thickBot="1">
      <c r="A22" s="626" t="s">
        <v>338</v>
      </c>
      <c r="B22" s="627" t="s">
        <v>324</v>
      </c>
      <c r="C22" s="627" t="s">
        <v>339</v>
      </c>
      <c r="D22" s="628"/>
      <c r="E22" s="628"/>
      <c r="F22" s="629">
        <f>SUM(F17:F21)</f>
        <v>22208</v>
      </c>
      <c r="G22" s="629">
        <f t="shared" ref="G22:K22" si="4">SUM(G17:G21)</f>
        <v>935</v>
      </c>
      <c r="H22" s="629">
        <f t="shared" si="4"/>
        <v>0</v>
      </c>
      <c r="I22" s="629">
        <f t="shared" si="4"/>
        <v>31909</v>
      </c>
      <c r="J22" s="629">
        <f t="shared" si="4"/>
        <v>13189</v>
      </c>
      <c r="K22" s="629">
        <f t="shared" si="4"/>
        <v>55</v>
      </c>
      <c r="L22" s="629">
        <f>SUM(L17:L21)</f>
        <v>13134</v>
      </c>
      <c r="M22" s="630">
        <f>SUM(M17:M21)</f>
        <v>3734.47</v>
      </c>
      <c r="N22" s="631"/>
      <c r="O22" s="632">
        <f>SUM(O17:O21)</f>
        <v>72174933.329999998</v>
      </c>
      <c r="P22" s="632"/>
      <c r="Q22" s="632">
        <f>SUM(Q17:Q21)</f>
        <v>0</v>
      </c>
      <c r="R22" s="649"/>
      <c r="S22" s="632">
        <f>SUM(S17:S21)</f>
        <v>72174933.329999998</v>
      </c>
      <c r="T22" s="650">
        <f>SUM(T17:T21)</f>
        <v>72174934</v>
      </c>
      <c r="U22" s="650">
        <f>SUM(U17:U21)</f>
        <v>72174934</v>
      </c>
      <c r="V22" s="619">
        <f t="shared" si="1"/>
        <v>144349868</v>
      </c>
    </row>
    <row r="23" spans="1:22" ht="18" customHeight="1">
      <c r="F23" s="638"/>
      <c r="G23" s="638"/>
      <c r="H23" s="638"/>
      <c r="I23" s="638"/>
      <c r="J23" s="638"/>
      <c r="K23" s="638"/>
      <c r="L23" s="638"/>
      <c r="M23" s="571" t="str">
        <f>IF(M22=NewData!Q96,"","Error")</f>
        <v/>
      </c>
      <c r="O23" s="639"/>
      <c r="V23" s="619"/>
    </row>
    <row r="24" spans="1:22" ht="18" customHeight="1">
      <c r="F24" s="548"/>
      <c r="G24" s="638"/>
      <c r="H24" s="638"/>
      <c r="I24" s="548"/>
      <c r="J24" s="548"/>
      <c r="L24" s="548"/>
      <c r="M24" s="640"/>
      <c r="O24" s="639"/>
      <c r="V24" s="619"/>
    </row>
    <row r="25" spans="1:22" ht="18" customHeight="1">
      <c r="A25" s="605" t="s">
        <v>340</v>
      </c>
      <c r="B25" s="606"/>
      <c r="C25" s="606"/>
      <c r="D25" s="641"/>
      <c r="E25" s="641"/>
      <c r="F25" s="642"/>
      <c r="G25" s="642"/>
      <c r="H25" s="642"/>
      <c r="I25" s="642"/>
      <c r="J25" s="638"/>
      <c r="K25" s="638"/>
      <c r="L25" s="638"/>
      <c r="O25" s="571"/>
      <c r="V25" s="619"/>
    </row>
    <row r="26" spans="1:22" ht="18" customHeight="1">
      <c r="A26" s="651" t="s">
        <v>247</v>
      </c>
      <c r="B26" s="610" t="s">
        <v>312</v>
      </c>
      <c r="C26" s="652" t="s">
        <v>313</v>
      </c>
      <c r="D26" s="643" t="s">
        <v>341</v>
      </c>
      <c r="E26" s="644"/>
      <c r="F26" s="653"/>
      <c r="G26" s="613">
        <f>VLOOKUP($D$26,collegecode,8,FALSE)</f>
        <v>972</v>
      </c>
      <c r="H26" s="612"/>
      <c r="I26" s="612"/>
      <c r="J26" s="612"/>
      <c r="K26" s="612"/>
      <c r="L26" s="613">
        <f>J26-K26</f>
        <v>0</v>
      </c>
      <c r="M26" s="614">
        <f>ROUND(G26+H26+(F26/F$6)+(I26/I$6)+(L26/L$6),2)</f>
        <v>972</v>
      </c>
      <c r="N26" s="615">
        <f>VLOOKUP($B26,weights,2,FALSE)</f>
        <v>4.7530000000000001</v>
      </c>
      <c r="O26" s="618">
        <f t="shared" ref="O26:O27" si="5">ROUND(M26*N26*$O$6,2)</f>
        <v>44760136.939999998</v>
      </c>
      <c r="P26" s="654" t="s">
        <v>315</v>
      </c>
      <c r="Q26" s="617"/>
      <c r="R26" s="655" t="s">
        <v>316</v>
      </c>
      <c r="S26" s="618">
        <f t="shared" ref="S26:S27" si="6">Q26+O26</f>
        <v>44760136.939999998</v>
      </c>
      <c r="T26" s="617">
        <f>ROUND($S26,0)</f>
        <v>44760137</v>
      </c>
      <c r="U26" s="617">
        <f t="shared" ref="U26:U27" si="7">ROUND($S26,0)</f>
        <v>44760137</v>
      </c>
      <c r="V26" s="619">
        <f t="shared" si="1"/>
        <v>89520274</v>
      </c>
    </row>
    <row r="27" spans="1:22" ht="18" customHeight="1">
      <c r="A27" s="656" t="s">
        <v>246</v>
      </c>
      <c r="B27" s="610" t="s">
        <v>342</v>
      </c>
      <c r="C27" s="652" t="s">
        <v>343</v>
      </c>
      <c r="D27" s="643" t="s">
        <v>344</v>
      </c>
      <c r="E27" s="644"/>
      <c r="F27" s="653"/>
      <c r="G27" s="613">
        <f>VLOOKUP($D$27,collegecode,8,FALSE)</f>
        <v>419</v>
      </c>
      <c r="H27" s="613">
        <f>VLOOKUP($D$27,collegecode,9,FALSE)</f>
        <v>95</v>
      </c>
      <c r="I27" s="612"/>
      <c r="J27" s="612"/>
      <c r="K27" s="612"/>
      <c r="L27" s="613">
        <f>J27-K27</f>
        <v>0</v>
      </c>
      <c r="M27" s="614">
        <f t="shared" ref="M27" si="8">ROUND(G27+H27+(F27/F$6)+(I27/I$6)+(L27/L$6),2)</f>
        <v>514</v>
      </c>
      <c r="N27" s="615">
        <f t="shared" ref="N27:N37" si="9">VLOOKUP($B27,weights,2,FALSE)</f>
        <v>4.601</v>
      </c>
      <c r="O27" s="622">
        <f t="shared" si="5"/>
        <v>22912510.629999999</v>
      </c>
      <c r="P27" s="654" t="s">
        <v>315</v>
      </c>
      <c r="Q27" s="621"/>
      <c r="R27" s="655" t="s">
        <v>316</v>
      </c>
      <c r="S27" s="622">
        <f t="shared" si="6"/>
        <v>22912510.629999999</v>
      </c>
      <c r="T27" s="623">
        <f>ROUND($S27,0)</f>
        <v>22912511</v>
      </c>
      <c r="U27" s="623">
        <f t="shared" si="7"/>
        <v>22912511</v>
      </c>
      <c r="V27" s="619">
        <f t="shared" si="1"/>
        <v>45825022</v>
      </c>
    </row>
    <row r="28" spans="1:22" ht="18" customHeight="1">
      <c r="A28" s="657"/>
      <c r="B28" s="658"/>
      <c r="C28" s="658"/>
      <c r="D28" s="659"/>
      <c r="E28" s="659"/>
      <c r="F28" s="660"/>
      <c r="G28" s="660"/>
      <c r="H28" s="660"/>
      <c r="I28" s="660"/>
      <c r="J28" s="660"/>
      <c r="K28" s="660"/>
      <c r="L28" s="660"/>
      <c r="M28" s="661"/>
      <c r="N28" s="662"/>
      <c r="O28" s="663"/>
      <c r="P28" s="664"/>
      <c r="Q28" s="665"/>
      <c r="R28" s="666"/>
      <c r="S28" s="663"/>
      <c r="T28" s="667"/>
      <c r="U28" s="667"/>
      <c r="V28" s="619"/>
    </row>
    <row r="29" spans="1:22" ht="18" customHeight="1">
      <c r="A29" s="651" t="s">
        <v>345</v>
      </c>
      <c r="B29" s="610" t="s">
        <v>317</v>
      </c>
      <c r="C29" s="610"/>
      <c r="D29" s="643" t="s">
        <v>346</v>
      </c>
      <c r="E29" s="644"/>
      <c r="F29" s="612"/>
      <c r="G29" s="612"/>
      <c r="H29" s="612"/>
      <c r="I29" s="613">
        <f>VLOOKUP($D$29,collegecode,6,FALSE)</f>
        <v>1751</v>
      </c>
      <c r="J29" s="613">
        <f>VLOOKUP($D$29,collegecode,7,FALSE)</f>
        <v>8232</v>
      </c>
      <c r="K29" s="613">
        <f>VLOOKUP($D$29,collegecode,11,FALSE)</f>
        <v>286</v>
      </c>
      <c r="L29" s="613">
        <f>J29-K29</f>
        <v>7946</v>
      </c>
      <c r="M29" s="614">
        <f>ROUND(G29+H29+(F29/F$6)+(I29/I$6)+(L29/L$6),2)</f>
        <v>514.4</v>
      </c>
      <c r="N29" s="615">
        <f>VLOOKUP($B29,weights,2,FALSE)</f>
        <v>1.018</v>
      </c>
      <c r="O29" s="620">
        <f>ROUND(M29*N29*$O$6,2)</f>
        <v>5073481.3099999996</v>
      </c>
      <c r="P29" s="654" t="s">
        <v>315</v>
      </c>
      <c r="Q29" s="623"/>
      <c r="R29" s="655" t="s">
        <v>316</v>
      </c>
      <c r="S29" s="620">
        <f>Q29+O29</f>
        <v>5073481.3099999996</v>
      </c>
      <c r="T29" s="617"/>
      <c r="U29" s="617"/>
      <c r="V29" s="619"/>
    </row>
    <row r="30" spans="1:22" ht="18" customHeight="1">
      <c r="A30" s="668"/>
      <c r="B30" s="610" t="s">
        <v>317</v>
      </c>
      <c r="C30" s="610"/>
      <c r="D30" s="643" t="s">
        <v>347</v>
      </c>
      <c r="E30" s="644"/>
      <c r="F30" s="612"/>
      <c r="G30" s="612"/>
      <c r="H30" s="612"/>
      <c r="I30" s="613">
        <f>VLOOKUP($D$30,collegecode,6,FALSE)</f>
        <v>908</v>
      </c>
      <c r="J30" s="613">
        <f>VLOOKUP($D$30,collegecode,7,FALSE)</f>
        <v>0</v>
      </c>
      <c r="K30" s="613">
        <f>VLOOKUP($D$30,collegecode,11,FALSE)</f>
        <v>0</v>
      </c>
      <c r="L30" s="613">
        <f>J30-K30</f>
        <v>0</v>
      </c>
      <c r="M30" s="614">
        <f>ROUND(G30+H30+(F30/F$6)+(I30/I$6)+(L30/L$6),2)</f>
        <v>37.83</v>
      </c>
      <c r="N30" s="615">
        <f>VLOOKUP($B30,weights,2,FALSE)</f>
        <v>1.018</v>
      </c>
      <c r="O30" s="620">
        <f>ROUND(M30*N30*$O$6,2)</f>
        <v>373113.92</v>
      </c>
      <c r="P30" s="654" t="s">
        <v>315</v>
      </c>
      <c r="Q30" s="623"/>
      <c r="R30" s="655" t="s">
        <v>316</v>
      </c>
      <c r="S30" s="620">
        <f t="shared" ref="S30" si="10">Q30+O30</f>
        <v>373113.92</v>
      </c>
      <c r="T30" s="617"/>
      <c r="U30" s="617"/>
      <c r="V30" s="619"/>
    </row>
    <row r="31" spans="1:22" ht="18" customHeight="1">
      <c r="A31" s="651" t="s">
        <v>348</v>
      </c>
      <c r="B31" s="610" t="s">
        <v>317</v>
      </c>
      <c r="C31" s="610"/>
      <c r="D31" s="669"/>
      <c r="E31" s="669" t="s">
        <v>349</v>
      </c>
      <c r="F31" s="612"/>
      <c r="G31" s="612"/>
      <c r="H31" s="612"/>
      <c r="I31" s="613">
        <v>0</v>
      </c>
      <c r="J31" s="613">
        <v>0</v>
      </c>
      <c r="K31" s="613">
        <v>0</v>
      </c>
      <c r="L31" s="613">
        <f>J31-K31</f>
        <v>0</v>
      </c>
      <c r="M31" s="614">
        <f>ROUND(G31+H31+(F31/F$6)+(I31/I$6)+(L31/L$6),2)</f>
        <v>0</v>
      </c>
      <c r="N31" s="615">
        <f t="shared" si="9"/>
        <v>1.018</v>
      </c>
      <c r="O31" s="620">
        <f>ROUND(M31*N31*$O$6,2)</f>
        <v>0</v>
      </c>
      <c r="P31" s="654" t="s">
        <v>315</v>
      </c>
      <c r="Q31" s="623">
        <v>0</v>
      </c>
      <c r="R31" s="655" t="s">
        <v>316</v>
      </c>
      <c r="S31" s="620">
        <f>Q31+O31</f>
        <v>0</v>
      </c>
      <c r="T31" s="617"/>
      <c r="U31" s="617"/>
      <c r="V31" s="619"/>
    </row>
    <row r="32" spans="1:22" ht="18" customHeight="1">
      <c r="A32" s="670" t="s">
        <v>350</v>
      </c>
      <c r="B32" s="610"/>
      <c r="C32" s="610" t="s">
        <v>318</v>
      </c>
      <c r="D32" s="671"/>
      <c r="E32" s="671"/>
      <c r="F32" s="612"/>
      <c r="G32" s="612"/>
      <c r="H32" s="612"/>
      <c r="I32" s="672">
        <f>SUM(I29:I31)</f>
        <v>2659</v>
      </c>
      <c r="J32" s="672">
        <f>SUM(J29:J31)</f>
        <v>8232</v>
      </c>
      <c r="K32" s="672">
        <f>SUM(K29:K31)</f>
        <v>286</v>
      </c>
      <c r="L32" s="672">
        <f>SUM(L29:L31)</f>
        <v>7946</v>
      </c>
      <c r="M32" s="673">
        <f>SUM(M29:M31)</f>
        <v>552.23</v>
      </c>
      <c r="N32" s="615"/>
      <c r="O32" s="622">
        <f>SUM(O29:O31)</f>
        <v>5446595.2299999995</v>
      </c>
      <c r="P32" s="654"/>
      <c r="Q32" s="674">
        <f>SUM(Q29:Q31)</f>
        <v>0</v>
      </c>
      <c r="R32" s="655"/>
      <c r="S32" s="646">
        <f>SUM(S29:S31)</f>
        <v>5446595.2299999995</v>
      </c>
      <c r="T32" s="674">
        <f>ROUND($S32,0)</f>
        <v>5446595</v>
      </c>
      <c r="U32" s="674">
        <f>ROUND($S32,0)</f>
        <v>5446595</v>
      </c>
      <c r="V32" s="619">
        <f t="shared" si="1"/>
        <v>10893190</v>
      </c>
    </row>
    <row r="33" spans="1:22" ht="18" customHeight="1">
      <c r="A33" s="651"/>
      <c r="B33" s="610"/>
      <c r="C33" s="610"/>
      <c r="D33" s="675"/>
      <c r="E33" s="671"/>
      <c r="F33" s="613"/>
      <c r="G33" s="613"/>
      <c r="H33" s="613"/>
      <c r="I33" s="613"/>
      <c r="J33" s="613"/>
      <c r="K33" s="613"/>
      <c r="L33" s="613"/>
      <c r="M33" s="614"/>
      <c r="N33" s="615"/>
      <c r="O33" s="622"/>
      <c r="P33" s="654"/>
      <c r="Q33" s="674"/>
      <c r="R33" s="655"/>
      <c r="S33" s="646"/>
      <c r="T33" s="676"/>
      <c r="U33" s="676"/>
      <c r="V33" s="619"/>
    </row>
    <row r="34" spans="1:22" ht="18" customHeight="1">
      <c r="A34" s="610" t="s">
        <v>351</v>
      </c>
      <c r="B34" s="610" t="s">
        <v>320</v>
      </c>
      <c r="C34" s="610" t="s">
        <v>321</v>
      </c>
      <c r="D34" s="643" t="s">
        <v>352</v>
      </c>
      <c r="E34" s="644"/>
      <c r="F34" s="613">
        <f>VLOOKUP($D$34,collegecode,5,FALSE)</f>
        <v>1829</v>
      </c>
      <c r="G34" s="612"/>
      <c r="H34" s="612"/>
      <c r="I34" s="613">
        <f>VLOOKUP($D$34,collegecode,6,FALSE)</f>
        <v>132</v>
      </c>
      <c r="J34" s="612"/>
      <c r="K34" s="612"/>
      <c r="L34" s="613">
        <f>J34-K34</f>
        <v>0</v>
      </c>
      <c r="M34" s="614">
        <f>ROUND(G34+H34+(F34/F$6)+(I34/I$6)+(L34/L$6),2)</f>
        <v>66.47</v>
      </c>
      <c r="N34" s="615">
        <f>VLOOKUP($B34,weights,2,FALSE)</f>
        <v>1</v>
      </c>
      <c r="O34" s="622">
        <f>ROUND(M34*N34*$O$6,2)</f>
        <v>643995.76</v>
      </c>
      <c r="P34" s="654" t="s">
        <v>315</v>
      </c>
      <c r="Q34" s="623"/>
      <c r="R34" s="655" t="s">
        <v>316</v>
      </c>
      <c r="S34" s="677">
        <f>Q34+O34</f>
        <v>643995.76</v>
      </c>
      <c r="T34" s="623">
        <f t="shared" ref="T34:U34" si="11">ROUND($S34,0)</f>
        <v>643996</v>
      </c>
      <c r="U34" s="623">
        <f t="shared" si="11"/>
        <v>643996</v>
      </c>
      <c r="V34" s="619">
        <f t="shared" si="1"/>
        <v>1287992</v>
      </c>
    </row>
    <row r="35" spans="1:22" ht="18" customHeight="1">
      <c r="A35" s="652"/>
      <c r="B35" s="658"/>
      <c r="C35" s="678"/>
      <c r="E35" s="644"/>
      <c r="G35" s="613"/>
      <c r="H35" s="613"/>
      <c r="J35" s="613"/>
      <c r="K35" s="613"/>
      <c r="L35" s="613"/>
      <c r="M35" s="614"/>
      <c r="N35" s="615"/>
      <c r="O35" s="622"/>
      <c r="P35" s="654"/>
      <c r="Q35" s="623"/>
      <c r="R35" s="655"/>
      <c r="S35" s="677"/>
      <c r="T35" s="623"/>
      <c r="U35" s="623"/>
      <c r="V35" s="619"/>
    </row>
    <row r="36" spans="1:22" ht="18" customHeight="1">
      <c r="A36" s="610" t="s">
        <v>353</v>
      </c>
      <c r="B36" s="610" t="s">
        <v>354</v>
      </c>
      <c r="C36" s="610" t="s">
        <v>355</v>
      </c>
      <c r="D36" s="611" t="s">
        <v>356</v>
      </c>
      <c r="E36" s="611"/>
      <c r="F36" s="612"/>
      <c r="G36" s="612"/>
      <c r="H36" s="612"/>
      <c r="I36" s="613">
        <f>VLOOKUP($D$36,collegecode,6,FALSE)</f>
        <v>3712</v>
      </c>
      <c r="J36" s="613">
        <f>VLOOKUP($D$36,collegecode,7,FALSE)</f>
        <v>987</v>
      </c>
      <c r="K36" s="613">
        <f>VLOOKUP($D$36,collegecode,11,FALSE)</f>
        <v>25</v>
      </c>
      <c r="L36" s="679">
        <f>J36-K36</f>
        <v>962</v>
      </c>
      <c r="M36" s="614">
        <f>ROUND(G36+H36+(F36/F$6)+(I36/I$6)+(L36/L$6),2)</f>
        <v>208.11</v>
      </c>
      <c r="N36" s="615">
        <f>VLOOKUP($B36,weights,2,FALSE)</f>
        <v>1.75</v>
      </c>
      <c r="O36" s="680">
        <f>ROUND(M36*N36*$O$6,2)</f>
        <v>3528485.4</v>
      </c>
      <c r="P36" s="654" t="s">
        <v>315</v>
      </c>
      <c r="Q36" s="676"/>
      <c r="R36" s="678" t="s">
        <v>316</v>
      </c>
      <c r="S36" s="677">
        <f>Q36+O36</f>
        <v>3528485.4</v>
      </c>
      <c r="T36" s="623">
        <f>ROUND($S36,0)</f>
        <v>3528485</v>
      </c>
      <c r="U36" s="623">
        <f>ROUND($S36,0)</f>
        <v>3528485</v>
      </c>
      <c r="V36" s="619">
        <f t="shared" si="1"/>
        <v>7056970</v>
      </c>
    </row>
    <row r="37" spans="1:22" ht="17.399999999999999">
      <c r="A37" s="681" t="s">
        <v>357</v>
      </c>
      <c r="B37" s="610" t="s">
        <v>354</v>
      </c>
      <c r="C37" s="610" t="s">
        <v>355</v>
      </c>
      <c r="D37" s="669"/>
      <c r="E37" s="669" t="s">
        <v>358</v>
      </c>
      <c r="F37" s="612"/>
      <c r="G37" s="612"/>
      <c r="H37" s="612"/>
      <c r="I37" s="613">
        <f>SUMIFS(NewData!H:H,NewData!$C:$C,'I&amp;O Calc'!$D$36,NewData!$E:$E,'I&amp;O Calc'!$E$37)</f>
        <v>0</v>
      </c>
      <c r="J37" s="613">
        <f>SUMIFS(NewData!I:I,NewData!$C:$C,'I&amp;O Calc'!$D$36,NewData!$E:$E,'I&amp;O Calc'!$E$37)</f>
        <v>0</v>
      </c>
      <c r="K37" s="613">
        <f>SUMIFS(NewData!M:M,NewData!$C:$C,'I&amp;O Calc'!$D$36,NewData!$E:$E,'I&amp;O Calc'!$E$37)</f>
        <v>0</v>
      </c>
      <c r="L37" s="679">
        <f t="shared" ref="L37" si="12">J37-K37</f>
        <v>0</v>
      </c>
      <c r="M37" s="614">
        <f>ROUND(G37+H37+(F37/F$6)+(I37/I$6)+(L37/L$6),2)</f>
        <v>0</v>
      </c>
      <c r="N37" s="615">
        <f t="shared" si="9"/>
        <v>1.75</v>
      </c>
      <c r="O37" s="680">
        <f>ROUND(M37*N37*$O$6,2)</f>
        <v>0</v>
      </c>
      <c r="P37" s="654"/>
      <c r="Q37" s="623"/>
      <c r="R37" s="678" t="s">
        <v>316</v>
      </c>
      <c r="S37" s="677"/>
      <c r="T37" s="623"/>
      <c r="U37" s="623"/>
      <c r="V37" s="619"/>
    </row>
    <row r="38" spans="1:22" ht="18" customHeight="1">
      <c r="F38" s="638"/>
      <c r="G38" s="638"/>
      <c r="H38" s="638"/>
      <c r="I38" s="638"/>
      <c r="J38" s="638"/>
      <c r="K38" s="638"/>
      <c r="L38" s="638"/>
      <c r="O38" s="682"/>
      <c r="P38" s="563"/>
      <c r="Q38" s="682"/>
      <c r="S38" s="682"/>
      <c r="T38" s="682"/>
      <c r="U38" s="682"/>
      <c r="V38" s="619"/>
    </row>
    <row r="39" spans="1:22" ht="18" customHeight="1">
      <c r="A39" s="683" t="s">
        <v>359</v>
      </c>
      <c r="B39" s="610" t="s">
        <v>331</v>
      </c>
      <c r="C39" s="610"/>
      <c r="D39" s="611" t="s">
        <v>360</v>
      </c>
      <c r="E39" s="611"/>
      <c r="F39" s="613">
        <f>VLOOKUP($D$39,collegecode,5,FALSE)</f>
        <v>19542</v>
      </c>
      <c r="G39" s="612"/>
      <c r="H39" s="612"/>
      <c r="I39" s="613">
        <f>VLOOKUP($D$39,collegecode,6,FALSE)</f>
        <v>6505</v>
      </c>
      <c r="J39" s="613">
        <f>VLOOKUP($D$39,collegecode,7,FALSE)</f>
        <v>8076</v>
      </c>
      <c r="K39" s="684">
        <f>VLOOKUP($D$39,collegecode,11,FALSE)</f>
        <v>0</v>
      </c>
      <c r="L39" s="613">
        <f>J39-K39</f>
        <v>8076</v>
      </c>
      <c r="M39" s="614">
        <f>ROUND(G39+H39+(F39/F$6)+(I39/I$6)+(L39/L$6),2)</f>
        <v>1371.11</v>
      </c>
      <c r="N39" s="615">
        <f>VLOOKUP($B39,weights,2,FALSE)</f>
        <v>1.1379999999999999</v>
      </c>
      <c r="O39" s="618">
        <f>ROUND(M39*N39*$O$6,2)</f>
        <v>15117218.41</v>
      </c>
      <c r="P39" s="685" t="s">
        <v>315</v>
      </c>
      <c r="Q39" s="617"/>
      <c r="R39" s="570" t="s">
        <v>316</v>
      </c>
      <c r="S39" s="618">
        <f>Q39+O39</f>
        <v>15117218.41</v>
      </c>
      <c r="T39" s="686"/>
      <c r="U39" s="686"/>
      <c r="V39" s="619"/>
    </row>
    <row r="40" spans="1:22" ht="18" customHeight="1">
      <c r="A40" s="687" t="s">
        <v>361</v>
      </c>
      <c r="B40" s="610" t="s">
        <v>331</v>
      </c>
      <c r="C40" s="610"/>
      <c r="D40" s="669"/>
      <c r="E40" s="669" t="s">
        <v>362</v>
      </c>
      <c r="F40" s="612"/>
      <c r="G40" s="612"/>
      <c r="H40" s="612"/>
      <c r="I40" s="613">
        <f>SUMIFS(NewData!H:H,NewData!$C:$C,'I&amp;O Calc'!#REF!,NewData!$E:$E,'I&amp;O Calc'!$E$40)</f>
        <v>0</v>
      </c>
      <c r="J40" s="613">
        <f>SUMIFS(NewData!I:I,NewData!$C:$C,'I&amp;O Calc'!#REF!,NewData!$E:$E,'I&amp;O Calc'!$E$40)</f>
        <v>0</v>
      </c>
      <c r="K40" s="613">
        <f>SUMIFS(NewData!M:M,NewData!$C:$C,'I&amp;O Calc'!#REF!,NewData!$E:$E,'I&amp;O Calc'!$E$40)</f>
        <v>0</v>
      </c>
      <c r="L40" s="613">
        <f>J40-K40</f>
        <v>0</v>
      </c>
      <c r="M40" s="614">
        <f>ROUND(G40+H40+(F40/F$6)+(I40/I$6)+(L40/L$6),2)</f>
        <v>0</v>
      </c>
      <c r="N40" s="615">
        <f>VLOOKUP($B40,weights,2,FALSE)</f>
        <v>1.1379999999999999</v>
      </c>
      <c r="O40" s="620">
        <f>ROUND(M40*N40*$O$6,2)</f>
        <v>0</v>
      </c>
      <c r="P40" s="685" t="s">
        <v>315</v>
      </c>
      <c r="Q40" s="623">
        <v>0</v>
      </c>
      <c r="R40" s="570" t="s">
        <v>316</v>
      </c>
      <c r="S40" s="620">
        <f>Q40+O40</f>
        <v>0</v>
      </c>
      <c r="T40" s="617">
        <f t="shared" ref="T40:U40" si="13">ROUND($S40,0)</f>
        <v>0</v>
      </c>
      <c r="U40" s="617">
        <f t="shared" si="13"/>
        <v>0</v>
      </c>
      <c r="V40" s="619"/>
    </row>
    <row r="41" spans="1:22" ht="18" customHeight="1">
      <c r="A41" s="688" t="s">
        <v>363</v>
      </c>
      <c r="B41" s="610"/>
      <c r="C41" s="610" t="s">
        <v>332</v>
      </c>
      <c r="D41" s="671"/>
      <c r="E41" s="671"/>
      <c r="F41" s="672">
        <f t="shared" ref="F41" si="14">SUM(F39:F40)</f>
        <v>19542</v>
      </c>
      <c r="G41" s="672"/>
      <c r="H41" s="672"/>
      <c r="I41" s="672">
        <f>SUM(I39:I40)</f>
        <v>6505</v>
      </c>
      <c r="J41" s="672">
        <f>SUM(J39:J40)</f>
        <v>8076</v>
      </c>
      <c r="K41" s="672">
        <f>SUM(K39:K40)</f>
        <v>0</v>
      </c>
      <c r="L41" s="672">
        <f t="shared" ref="L41" si="15">SUM(L39:L40)</f>
        <v>8076</v>
      </c>
      <c r="M41" s="673">
        <f>SUM(M39:M40)</f>
        <v>1371.11</v>
      </c>
      <c r="N41" s="689"/>
      <c r="O41" s="618">
        <f>SUM(O39:O40)</f>
        <v>15117218.41</v>
      </c>
      <c r="P41" s="685"/>
      <c r="Q41" s="621">
        <f>SUM(Q39:Q40)</f>
        <v>0</v>
      </c>
      <c r="R41" s="570"/>
      <c r="S41" s="618">
        <f>SUM(S39:S40)</f>
        <v>15117218.41</v>
      </c>
      <c r="T41" s="621">
        <f>ROUND($S41,0)</f>
        <v>15117218</v>
      </c>
      <c r="U41" s="621">
        <f>ROUND($S41,0)</f>
        <v>15117218</v>
      </c>
      <c r="V41" s="619">
        <f t="shared" si="1"/>
        <v>30234436</v>
      </c>
    </row>
    <row r="42" spans="1:22" ht="18" customHeight="1">
      <c r="A42" s="690"/>
      <c r="F42" s="638"/>
      <c r="G42" s="638"/>
      <c r="H42" s="638"/>
      <c r="I42" s="638"/>
      <c r="J42" s="638"/>
      <c r="K42" s="638"/>
      <c r="L42" s="638"/>
      <c r="O42" s="682"/>
      <c r="P42" s="563"/>
      <c r="Q42" s="682"/>
      <c r="S42" s="682"/>
      <c r="T42" s="682"/>
      <c r="U42" s="682"/>
      <c r="V42" s="619"/>
    </row>
    <row r="43" spans="1:22" ht="18" customHeight="1">
      <c r="A43" s="683" t="s">
        <v>364</v>
      </c>
      <c r="B43" s="610" t="s">
        <v>335</v>
      </c>
      <c r="C43" s="610"/>
      <c r="D43" s="611" t="s">
        <v>365</v>
      </c>
      <c r="E43" s="611"/>
      <c r="F43" s="612"/>
      <c r="G43" s="612"/>
      <c r="H43" s="612"/>
      <c r="I43" s="613">
        <f>VLOOKUP($D$43,collegecode,6,FALSE)</f>
        <v>11257</v>
      </c>
      <c r="J43" s="613">
        <f>VLOOKUP($D$43,collegecode,7,FALSE)</f>
        <v>6677</v>
      </c>
      <c r="K43" s="613">
        <f>VLOOKUP($D$43,collegecode,11,FALSE)</f>
        <v>3</v>
      </c>
      <c r="L43" s="613">
        <f t="shared" ref="L43:L48" si="16">J43-K43</f>
        <v>6674</v>
      </c>
      <c r="M43" s="614">
        <f>ROUND(G43+H43+(F43/F$6)+(I43/I$6)+(L43/L$6),2)</f>
        <v>839.82</v>
      </c>
      <c r="N43" s="615">
        <f t="shared" ref="N43:N48" si="17">VLOOKUP($B43,weights,2,FALSE)</f>
        <v>1.7210000000000001</v>
      </c>
      <c r="O43" s="616">
        <f>ROUND(M43*N43*$O$6,2)</f>
        <v>14003107.109999999</v>
      </c>
      <c r="P43" s="685" t="s">
        <v>315</v>
      </c>
      <c r="Q43" s="617"/>
      <c r="R43" s="570" t="s">
        <v>316</v>
      </c>
      <c r="S43" s="616">
        <f>Q43+O43</f>
        <v>14003107.109999999</v>
      </c>
      <c r="T43" s="617"/>
      <c r="U43" s="617"/>
      <c r="V43" s="619"/>
    </row>
    <row r="44" spans="1:22" ht="18" customHeight="1">
      <c r="A44" s="683" t="s">
        <v>366</v>
      </c>
      <c r="B44" s="610" t="s">
        <v>335</v>
      </c>
      <c r="C44" s="610"/>
      <c r="D44" s="669"/>
      <c r="E44" s="669" t="s">
        <v>367</v>
      </c>
      <c r="F44" s="612"/>
      <c r="G44" s="612"/>
      <c r="H44" s="612"/>
      <c r="I44" s="613">
        <f>SUMIFS(NewData!H:H,NewData!$C:$C,'I&amp;O Calc'!$D$43,NewData!$E:$E,'I&amp;O Calc'!$E$44)</f>
        <v>3921</v>
      </c>
      <c r="J44" s="613">
        <f>SUMIFS(NewData!I:I,NewData!$C:$C,'I&amp;O Calc'!$D$43,NewData!$E:$E,'I&amp;O Calc'!$E$44)</f>
        <v>648</v>
      </c>
      <c r="K44" s="613">
        <f>SUMIFS(NewData!M:M,NewData!$C:$C,'I&amp;O Calc'!$D$43,NewData!$E:$E,'I&amp;O Calc'!$E$44)</f>
        <v>0</v>
      </c>
      <c r="L44" s="613">
        <f t="shared" si="16"/>
        <v>648</v>
      </c>
      <c r="M44" s="614">
        <f t="shared" ref="M44:M47" si="18">ROUND(G44+H44+(F44/F$6)+(I44/I$6)+(L44/L$6),2)</f>
        <v>199.38</v>
      </c>
      <c r="N44" s="615">
        <f t="shared" si="17"/>
        <v>1.7210000000000001</v>
      </c>
      <c r="O44" s="620">
        <f>ROUND(M44*N44*$O$6,2)</f>
        <v>3324449.88</v>
      </c>
      <c r="P44" s="685" t="s">
        <v>315</v>
      </c>
      <c r="Q44" s="623">
        <v>12362</v>
      </c>
      <c r="R44" s="570" t="s">
        <v>316</v>
      </c>
      <c r="S44" s="620">
        <f t="shared" ref="S44:S48" si="19">Q44+O44</f>
        <v>3336811.88</v>
      </c>
      <c r="T44" s="617"/>
      <c r="U44" s="617"/>
      <c r="V44" s="619"/>
    </row>
    <row r="45" spans="1:22" ht="18" customHeight="1">
      <c r="A45" s="683" t="s">
        <v>368</v>
      </c>
      <c r="B45" s="610" t="s">
        <v>335</v>
      </c>
      <c r="C45" s="610"/>
      <c r="D45" s="669"/>
      <c r="E45" s="669" t="s">
        <v>369</v>
      </c>
      <c r="F45" s="612"/>
      <c r="G45" s="612"/>
      <c r="H45" s="612"/>
      <c r="I45" s="613">
        <f>SUMIFS(NewData!H:H,NewData!$C:$C,'I&amp;O Calc'!$D$43,NewData!$E:$E,'I&amp;O Calc'!$E$45)</f>
        <v>383</v>
      </c>
      <c r="J45" s="613">
        <f>SUMIFS(NewData!I:I,NewData!$C:$C,'I&amp;O Calc'!$D$43,NewData!$E:$E,'I&amp;O Calc'!$E$45)</f>
        <v>249</v>
      </c>
      <c r="K45" s="613">
        <f>SUMIFS(NewData!M:M,NewData!$C:$C,'I&amp;O Calc'!$D$43,NewData!$E:$E,'I&amp;O Calc'!$E$45)</f>
        <v>0</v>
      </c>
      <c r="L45" s="613">
        <f t="shared" si="16"/>
        <v>249</v>
      </c>
      <c r="M45" s="614">
        <f t="shared" si="18"/>
        <v>29.79</v>
      </c>
      <c r="N45" s="615">
        <f t="shared" si="17"/>
        <v>1.7210000000000001</v>
      </c>
      <c r="O45" s="620">
        <f>ROUND(M45*N45*$O$6,2)</f>
        <v>496716.63</v>
      </c>
      <c r="P45" s="685" t="s">
        <v>315</v>
      </c>
      <c r="Q45" s="623">
        <v>507056</v>
      </c>
      <c r="R45" s="570" t="s">
        <v>316</v>
      </c>
      <c r="S45" s="620">
        <f t="shared" si="19"/>
        <v>1003772.63</v>
      </c>
      <c r="T45" s="617"/>
      <c r="U45" s="617"/>
      <c r="V45" s="619"/>
    </row>
    <row r="46" spans="1:22" ht="18" customHeight="1">
      <c r="A46" s="683" t="s">
        <v>370</v>
      </c>
      <c r="B46" s="610" t="s">
        <v>335</v>
      </c>
      <c r="C46" s="610"/>
      <c r="D46" s="669"/>
      <c r="E46" s="669" t="s">
        <v>371</v>
      </c>
      <c r="F46" s="612"/>
      <c r="G46" s="612"/>
      <c r="H46" s="612"/>
      <c r="I46" s="613">
        <f>SUMIFS(NewData!H:H,NewData!$C:$C,'I&amp;O Calc'!$D$43,NewData!$E:$E,'I&amp;O Calc'!$E$46)</f>
        <v>1958</v>
      </c>
      <c r="J46" s="613">
        <f>SUMIFS(NewData!I:I,NewData!$C:$C,'I&amp;O Calc'!$D$43,NewData!$E:$E,'I&amp;O Calc'!$E$46)</f>
        <v>357</v>
      </c>
      <c r="K46" s="613">
        <f>SUMIFS(NewData!M:M,NewData!$C:$C,'I&amp;O Calc'!$D$43,NewData!$E:$E,'I&amp;O Calc'!$E$46)</f>
        <v>0</v>
      </c>
      <c r="L46" s="613">
        <f t="shared" si="16"/>
        <v>357</v>
      </c>
      <c r="M46" s="614">
        <f>ROUND(G46+H46+(F46/F$6)+(I46/I$6)+(L46/L$6),2)</f>
        <v>101.42</v>
      </c>
      <c r="N46" s="615">
        <f t="shared" si="17"/>
        <v>1.7210000000000001</v>
      </c>
      <c r="O46" s="620">
        <f t="shared" ref="O46:O48" si="20">ROUND(M46*N46*$O$6,2)</f>
        <v>1691070.85</v>
      </c>
      <c r="P46" s="685" t="s">
        <v>315</v>
      </c>
      <c r="Q46" s="623">
        <v>999798</v>
      </c>
      <c r="R46" s="570" t="s">
        <v>316</v>
      </c>
      <c r="S46" s="620">
        <f t="shared" si="19"/>
        <v>2690868.85</v>
      </c>
      <c r="T46" s="617"/>
      <c r="U46" s="617"/>
      <c r="V46" s="619"/>
    </row>
    <row r="47" spans="1:22" ht="18" customHeight="1">
      <c r="A47" s="683" t="s">
        <v>372</v>
      </c>
      <c r="B47" s="610" t="s">
        <v>335</v>
      </c>
      <c r="C47" s="610"/>
      <c r="D47" s="669"/>
      <c r="E47" s="669" t="s">
        <v>362</v>
      </c>
      <c r="F47" s="612"/>
      <c r="G47" s="612"/>
      <c r="H47" s="612"/>
      <c r="I47" s="613">
        <f>SUMIFS(NewData!H:H,NewData!$C:$C,'I&amp;O Calc'!$D$43,NewData!$E:$E,'I&amp;O Calc'!$E$47)</f>
        <v>578</v>
      </c>
      <c r="J47" s="613">
        <f>SUMIFS(NewData!I:I,NewData!$C:$C,'I&amp;O Calc'!$D$43,NewData!$E:$E,'I&amp;O Calc'!$E$47)</f>
        <v>150</v>
      </c>
      <c r="K47" s="613">
        <f>SUMIFS(NewData!M:M,NewData!$C:$C,'I&amp;O Calc'!$D$43,NewData!$E:$E,'I&amp;O Calc'!$E$47)</f>
        <v>0</v>
      </c>
      <c r="L47" s="613">
        <f t="shared" si="16"/>
        <v>150</v>
      </c>
      <c r="M47" s="614">
        <f t="shared" si="18"/>
        <v>32.42</v>
      </c>
      <c r="N47" s="615">
        <f t="shared" si="17"/>
        <v>1.7210000000000001</v>
      </c>
      <c r="O47" s="620">
        <f t="shared" si="20"/>
        <v>540569.09</v>
      </c>
      <c r="P47" s="685" t="s">
        <v>315</v>
      </c>
      <c r="Q47" s="623">
        <f t="shared" ref="Q47" si="21">ROUND(IF(M47&lt;ClassSize,(1-(M47/200))*(VLOOKUP($B47,weights,3,FALSE))*M47,0),0)</f>
        <v>543294</v>
      </c>
      <c r="R47" s="570" t="s">
        <v>316</v>
      </c>
      <c r="S47" s="620">
        <f t="shared" si="19"/>
        <v>1083863.0899999999</v>
      </c>
      <c r="T47" s="617"/>
      <c r="U47" s="617"/>
      <c r="V47" s="619"/>
    </row>
    <row r="48" spans="1:22" ht="18" customHeight="1">
      <c r="A48" s="683" t="s">
        <v>373</v>
      </c>
      <c r="B48" s="610" t="s">
        <v>335</v>
      </c>
      <c r="C48" s="610"/>
      <c r="D48" s="669"/>
      <c r="E48" s="669" t="s">
        <v>374</v>
      </c>
      <c r="F48" s="612"/>
      <c r="G48" s="612"/>
      <c r="H48" s="612"/>
      <c r="I48" s="613">
        <f>SUMIFS(NewData!H:H,NewData!$C:$C,'I&amp;O Calc'!$D$43,NewData!$E:$E,'I&amp;O Calc'!$E$48)</f>
        <v>1885</v>
      </c>
      <c r="J48" s="613">
        <f>SUMIFS(NewData!I:I,NewData!$C:$C,'I&amp;O Calc'!$D$43,NewData!$E:$E,'I&amp;O Calc'!$E$48)</f>
        <v>243</v>
      </c>
      <c r="K48" s="613">
        <f>SUMIFS(NewData!M:M,NewData!$C:$C,'I&amp;O Calc'!$D$43,NewData!$E:$E,'I&amp;O Calc'!$E$48)</f>
        <v>0</v>
      </c>
      <c r="L48" s="613">
        <f t="shared" si="16"/>
        <v>243</v>
      </c>
      <c r="M48" s="614">
        <f>ROUND(G48+H48+(F48/F$6)+(I48/I$6)+(L48/L$6),2)</f>
        <v>92.04</v>
      </c>
      <c r="N48" s="615">
        <f t="shared" si="17"/>
        <v>1.7210000000000001</v>
      </c>
      <c r="O48" s="620">
        <f t="shared" si="20"/>
        <v>1534669.31</v>
      </c>
      <c r="P48" s="685" t="s">
        <v>315</v>
      </c>
      <c r="Q48" s="623">
        <v>993664</v>
      </c>
      <c r="R48" s="570" t="s">
        <v>316</v>
      </c>
      <c r="S48" s="620">
        <f t="shared" si="19"/>
        <v>2528333.31</v>
      </c>
      <c r="T48" s="617"/>
      <c r="U48" s="617"/>
      <c r="V48" s="619"/>
    </row>
    <row r="49" spans="1:22" ht="18" customHeight="1" thickBot="1">
      <c r="A49" s="691" t="s">
        <v>375</v>
      </c>
      <c r="B49" s="610"/>
      <c r="C49" s="610" t="s">
        <v>336</v>
      </c>
      <c r="D49" s="671"/>
      <c r="E49" s="671"/>
      <c r="F49" s="672">
        <f>SUM(F43:F48)</f>
        <v>0</v>
      </c>
      <c r="G49" s="672"/>
      <c r="H49" s="672"/>
      <c r="I49" s="672">
        <f>SUM(I43:I48)</f>
        <v>19982</v>
      </c>
      <c r="J49" s="672">
        <f>SUM(J43:J48)</f>
        <v>8324</v>
      </c>
      <c r="K49" s="672">
        <f>SUM(K43:K48)</f>
        <v>3</v>
      </c>
      <c r="L49" s="613">
        <f>SUM(L43:L48)</f>
        <v>8321</v>
      </c>
      <c r="M49" s="625">
        <f>SUM(M43:M48)</f>
        <v>1294.8700000000001</v>
      </c>
      <c r="N49" s="615"/>
      <c r="O49" s="618">
        <f>SUM(O43:O48)</f>
        <v>21590582.869999997</v>
      </c>
      <c r="P49" s="685" t="s">
        <v>315</v>
      </c>
      <c r="Q49" s="686">
        <f>SUM(Q43:Q48)</f>
        <v>3056174</v>
      </c>
      <c r="R49" s="570" t="s">
        <v>316</v>
      </c>
      <c r="S49" s="618">
        <f>SUM(S43:S48)</f>
        <v>24646756.869999997</v>
      </c>
      <c r="T49" s="686">
        <f>ROUND($S49,0)</f>
        <v>24646757</v>
      </c>
      <c r="U49" s="686">
        <f>ROUND($S49,0)</f>
        <v>24646757</v>
      </c>
      <c r="V49" s="619">
        <f t="shared" si="1"/>
        <v>49293514</v>
      </c>
    </row>
    <row r="50" spans="1:22" ht="18" customHeight="1" thickBot="1">
      <c r="A50" s="692" t="s">
        <v>376</v>
      </c>
      <c r="B50" s="627" t="s">
        <v>324</v>
      </c>
      <c r="C50" s="627" t="s">
        <v>377</v>
      </c>
      <c r="D50" s="628"/>
      <c r="E50" s="628"/>
      <c r="F50" s="693">
        <f t="shared" ref="F50:M50" si="22">F49+F41+F37+F32+F27+F26+F36+F34</f>
        <v>21371</v>
      </c>
      <c r="G50" s="693">
        <f t="shared" si="22"/>
        <v>1391</v>
      </c>
      <c r="H50" s="693">
        <f t="shared" si="22"/>
        <v>95</v>
      </c>
      <c r="I50" s="693">
        <f t="shared" si="22"/>
        <v>32990</v>
      </c>
      <c r="J50" s="693">
        <f t="shared" si="22"/>
        <v>25619</v>
      </c>
      <c r="K50" s="693">
        <f t="shared" si="22"/>
        <v>314</v>
      </c>
      <c r="L50" s="694">
        <f t="shared" si="22"/>
        <v>25305</v>
      </c>
      <c r="M50" s="630">
        <f t="shared" si="22"/>
        <v>4978.79</v>
      </c>
      <c r="N50" s="695"/>
      <c r="O50" s="636">
        <f>O49+O41+O34+O37+O32+O27+O26+O36</f>
        <v>113999525.23999999</v>
      </c>
      <c r="P50" s="633" t="s">
        <v>315</v>
      </c>
      <c r="Q50" s="636">
        <f>Q49+Q41+Q34+Q37+Q32+Q27+Q26+Q36</f>
        <v>3056174</v>
      </c>
      <c r="R50" s="696" t="s">
        <v>316</v>
      </c>
      <c r="S50" s="636">
        <f>S49+S41+S34+S35+S36+S37+S32+S27+S26</f>
        <v>117055699.23999999</v>
      </c>
      <c r="T50" s="697">
        <f>T49+T41+T34+T37+T32+T27+T26+T36</f>
        <v>117055699</v>
      </c>
      <c r="U50" s="697">
        <f>U49+U41+U34+U37+U32+U27+U26+U36</f>
        <v>117055699</v>
      </c>
      <c r="V50" s="619">
        <f t="shared" si="1"/>
        <v>234111398</v>
      </c>
    </row>
    <row r="51" spans="1:22" ht="18" customHeight="1">
      <c r="A51" s="698"/>
      <c r="F51" s="638"/>
      <c r="G51" s="638"/>
      <c r="H51" s="638"/>
      <c r="I51" s="638"/>
      <c r="J51" s="638"/>
      <c r="K51" s="638"/>
      <c r="L51" s="638"/>
      <c r="M51" s="571" t="str">
        <f>IF(M50=NewData!Q87,"","Error")</f>
        <v/>
      </c>
      <c r="O51" s="639"/>
      <c r="V51" s="619"/>
    </row>
    <row r="52" spans="1:22" ht="18" customHeight="1">
      <c r="A52" s="698"/>
      <c r="F52" s="548"/>
      <c r="G52" s="638"/>
      <c r="H52" s="638"/>
      <c r="I52" s="548"/>
      <c r="J52" s="548"/>
      <c r="L52" s="548"/>
      <c r="M52" s="640"/>
      <c r="O52" s="639"/>
      <c r="Q52" s="682"/>
      <c r="V52" s="619"/>
    </row>
    <row r="53" spans="1:22" ht="18" customHeight="1">
      <c r="A53" s="605" t="s">
        <v>378</v>
      </c>
      <c r="B53" s="606"/>
      <c r="C53" s="606"/>
      <c r="D53" s="641"/>
      <c r="E53" s="641"/>
      <c r="F53" s="642"/>
      <c r="G53" s="642"/>
      <c r="H53" s="642"/>
      <c r="I53" s="642"/>
      <c r="J53" s="638"/>
      <c r="K53" s="638"/>
      <c r="L53" s="638"/>
      <c r="O53" s="682"/>
      <c r="Q53" s="639"/>
      <c r="T53" s="639"/>
      <c r="V53" s="619"/>
    </row>
    <row r="54" spans="1:22" ht="18" customHeight="1">
      <c r="A54" s="656" t="s">
        <v>379</v>
      </c>
      <c r="B54" s="610" t="s">
        <v>312</v>
      </c>
      <c r="C54" s="610" t="s">
        <v>313</v>
      </c>
      <c r="D54" s="611" t="s">
        <v>380</v>
      </c>
      <c r="E54" s="611"/>
      <c r="F54" s="612"/>
      <c r="G54" s="613">
        <f>VLOOKUP($D$54,collegecode,8,FALSE)</f>
        <v>873</v>
      </c>
      <c r="H54" s="612"/>
      <c r="I54" s="612"/>
      <c r="J54" s="612"/>
      <c r="K54" s="612"/>
      <c r="L54" s="613">
        <f>J54-K54</f>
        <v>0</v>
      </c>
      <c r="M54" s="614">
        <f>ROUND(G54+H54+(F54/F$6)+(I54/I$6)+(L54/L$6),2)</f>
        <v>873</v>
      </c>
      <c r="N54" s="615">
        <f>VLOOKUP($B54,weights,2,FALSE)</f>
        <v>4.7530000000000001</v>
      </c>
      <c r="O54" s="616">
        <f>ROUND(M54*N54*$O$6,2)</f>
        <v>40201234.100000001</v>
      </c>
      <c r="P54" s="685" t="s">
        <v>315</v>
      </c>
      <c r="Q54" s="617">
        <v>0</v>
      </c>
      <c r="R54" s="570" t="s">
        <v>316</v>
      </c>
      <c r="S54" s="616">
        <f>Q54+O54</f>
        <v>40201234.100000001</v>
      </c>
      <c r="T54" s="617">
        <f>ROUND($S54,0)</f>
        <v>40201234</v>
      </c>
      <c r="U54" s="617">
        <f t="shared" ref="U54" si="23">ROUND($S54,0)</f>
        <v>40201234</v>
      </c>
      <c r="V54" s="619">
        <f t="shared" si="1"/>
        <v>80402468</v>
      </c>
    </row>
    <row r="55" spans="1:22" ht="18" customHeight="1">
      <c r="A55" s="699"/>
      <c r="F55" s="638"/>
      <c r="G55" s="638"/>
      <c r="H55" s="638"/>
      <c r="I55" s="638"/>
      <c r="J55" s="638"/>
      <c r="K55" s="638"/>
      <c r="L55" s="638"/>
      <c r="O55" s="682"/>
      <c r="P55" s="563"/>
      <c r="Q55" s="682"/>
      <c r="S55" s="682"/>
      <c r="T55" s="682"/>
      <c r="U55" s="682"/>
      <c r="V55" s="619"/>
    </row>
    <row r="56" spans="1:22" ht="18" customHeight="1">
      <c r="A56" s="656" t="s">
        <v>381</v>
      </c>
      <c r="B56" s="610" t="s">
        <v>342</v>
      </c>
      <c r="C56" s="610"/>
      <c r="D56" s="611" t="s">
        <v>382</v>
      </c>
      <c r="E56" s="611"/>
      <c r="F56" s="612"/>
      <c r="G56" s="613">
        <f>VLOOKUP($D$56,collegecode,8,FALSE)</f>
        <v>420</v>
      </c>
      <c r="H56" s="613">
        <f>VLOOKUP(D56,collegecode,9,FALSE)</f>
        <v>96</v>
      </c>
      <c r="I56" s="612"/>
      <c r="J56" s="612"/>
      <c r="K56" s="612"/>
      <c r="L56" s="613">
        <f>J56-K56</f>
        <v>0</v>
      </c>
      <c r="M56" s="614">
        <f>ROUND(G56+H56+(F56/F$6)+(I56/I$6)+(L56/L$6),2)</f>
        <v>516</v>
      </c>
      <c r="N56" s="615">
        <f>VLOOKUP($B56,weights,2,FALSE)</f>
        <v>4.601</v>
      </c>
      <c r="O56" s="616">
        <f>ROUND(M56*N56*$O$6,2)</f>
        <v>23001664.370000001</v>
      </c>
      <c r="P56" s="685" t="s">
        <v>315</v>
      </c>
      <c r="Q56" s="617">
        <v>0</v>
      </c>
      <c r="R56" s="570" t="s">
        <v>316</v>
      </c>
      <c r="S56" s="616">
        <f>Q56+O56</f>
        <v>23001664.370000001</v>
      </c>
      <c r="T56" s="617"/>
      <c r="U56" s="617"/>
      <c r="V56" s="619"/>
    </row>
    <row r="57" spans="1:22" ht="18" customHeight="1">
      <c r="A57" s="700" t="s">
        <v>383</v>
      </c>
      <c r="B57" s="610" t="s">
        <v>342</v>
      </c>
      <c r="C57" s="610"/>
      <c r="D57" s="701"/>
      <c r="E57" s="669" t="s">
        <v>384</v>
      </c>
      <c r="F57" s="612"/>
      <c r="G57" s="613">
        <f>SUMIFS(NewData!J:J,NewData!$C:$C,'I&amp;O Calc'!$D$56,NewData!$E:$E,'I&amp;O Calc'!$E$57)</f>
        <v>0</v>
      </c>
      <c r="H57" s="613">
        <f>SUMIFS(NewData!K:K,NewData!$C:$C,'I&amp;O Calc'!$D$56,NewData!$E:$E,'I&amp;O Calc'!$E$57)</f>
        <v>0</v>
      </c>
      <c r="I57" s="612"/>
      <c r="J57" s="612"/>
      <c r="K57" s="612"/>
      <c r="L57" s="613">
        <f>J57-K57</f>
        <v>0</v>
      </c>
      <c r="M57" s="614">
        <f>ROUND(G57+H57+(F57/F$6)+(I57/I$6)+(L57/L$6),2)</f>
        <v>0</v>
      </c>
      <c r="N57" s="615">
        <f>VLOOKUP($B57,weights,2,FALSE)</f>
        <v>4.601</v>
      </c>
      <c r="O57" s="620">
        <f>ROUND(M57*N57*$O$6,2)</f>
        <v>0</v>
      </c>
      <c r="P57" s="685" t="s">
        <v>315</v>
      </c>
      <c r="Q57" s="623">
        <v>0</v>
      </c>
      <c r="R57" s="570" t="s">
        <v>316</v>
      </c>
      <c r="S57" s="616">
        <f t="shared" ref="S57:S58" si="24">Q57+O57</f>
        <v>0</v>
      </c>
      <c r="T57" s="617"/>
      <c r="U57" s="617"/>
      <c r="V57" s="619"/>
    </row>
    <row r="58" spans="1:22" ht="18" customHeight="1">
      <c r="A58" s="700" t="s">
        <v>385</v>
      </c>
      <c r="B58" s="610" t="s">
        <v>342</v>
      </c>
      <c r="C58" s="610"/>
      <c r="D58" s="702" t="s">
        <v>386</v>
      </c>
      <c r="E58" s="703" t="s">
        <v>387</v>
      </c>
      <c r="F58" s="612"/>
      <c r="G58" s="613">
        <f>SUMIFS(NewData!J:J,NewData!$C:$C,'I&amp;O Calc'!$D$58,NewData!$E:$E,'I&amp;O Calc'!$E$58)</f>
        <v>0</v>
      </c>
      <c r="H58" s="613">
        <f>SUMIFS(NewData!K:K,NewData!$C:$C,'I&amp;O Calc'!$D$58,NewData!$E:$E,'I&amp;O Calc'!$E$58)</f>
        <v>4</v>
      </c>
      <c r="I58" s="612"/>
      <c r="J58" s="612"/>
      <c r="K58" s="612"/>
      <c r="L58" s="613"/>
      <c r="M58" s="614">
        <f t="shared" ref="M58" si="25">ROUND(G58+H58+(F58/F$6)+(I58/I$6)+(L58/L$6),2)</f>
        <v>4</v>
      </c>
      <c r="N58" s="615">
        <f>VLOOKUP($B58,weights,2,FALSE)</f>
        <v>4.601</v>
      </c>
      <c r="O58" s="620">
        <f>ROUND(M58*N58*$O$6,2)</f>
        <v>178307.48</v>
      </c>
      <c r="P58" s="685"/>
      <c r="Q58" s="623">
        <v>117600</v>
      </c>
      <c r="R58" s="570"/>
      <c r="S58" s="616">
        <f t="shared" si="24"/>
        <v>295907.48</v>
      </c>
      <c r="T58" s="617"/>
      <c r="U58" s="617"/>
      <c r="V58" s="619"/>
    </row>
    <row r="59" spans="1:22" ht="18" customHeight="1">
      <c r="A59" s="670" t="s">
        <v>388</v>
      </c>
      <c r="B59" s="610"/>
      <c r="C59" s="610" t="s">
        <v>343</v>
      </c>
      <c r="D59" s="671"/>
      <c r="E59" s="671"/>
      <c r="F59" s="613"/>
      <c r="G59" s="613">
        <f>SUM(G56:G58)</f>
        <v>420</v>
      </c>
      <c r="H59" s="613">
        <f>SUM(H56:H58)</f>
        <v>100</v>
      </c>
      <c r="I59" s="613"/>
      <c r="J59" s="613"/>
      <c r="K59" s="613"/>
      <c r="L59" s="647">
        <f>SUM(L56:L58)</f>
        <v>0</v>
      </c>
      <c r="M59" s="704">
        <f>SUM(M56:M58)</f>
        <v>520</v>
      </c>
      <c r="N59" s="705"/>
      <c r="O59" s="706">
        <f>SUM(O56:O58)</f>
        <v>23179971.850000001</v>
      </c>
      <c r="P59" s="707"/>
      <c r="Q59" s="708">
        <f>SUM(Q56:Q58)</f>
        <v>117600</v>
      </c>
      <c r="R59" s="709"/>
      <c r="S59" s="706">
        <f>SUM(S56:S58)</f>
        <v>23297571.850000001</v>
      </c>
      <c r="T59" s="686">
        <f>ROUND($S59,0)</f>
        <v>23297572</v>
      </c>
      <c r="U59" s="686">
        <f t="shared" ref="U59" si="26">ROUND($S59,0)</f>
        <v>23297572</v>
      </c>
      <c r="V59" s="619">
        <f t="shared" si="1"/>
        <v>46595144</v>
      </c>
    </row>
    <row r="60" spans="1:22" ht="18" customHeight="1">
      <c r="A60" s="710"/>
      <c r="F60" s="638"/>
      <c r="G60" s="638"/>
      <c r="H60" s="638"/>
      <c r="I60" s="638"/>
      <c r="J60" s="638"/>
      <c r="K60" s="638"/>
      <c r="L60" s="638"/>
      <c r="O60" s="682"/>
      <c r="P60" s="563"/>
      <c r="Q60" s="682"/>
      <c r="S60" s="682"/>
      <c r="T60" s="682"/>
      <c r="U60" s="682"/>
      <c r="V60" s="619"/>
    </row>
    <row r="61" spans="1:22" ht="18" customHeight="1">
      <c r="A61" s="711" t="s">
        <v>241</v>
      </c>
      <c r="B61" s="610" t="s">
        <v>317</v>
      </c>
      <c r="C61" s="610" t="s">
        <v>318</v>
      </c>
      <c r="D61" s="611" t="s">
        <v>389</v>
      </c>
      <c r="E61" s="671"/>
      <c r="F61" s="612"/>
      <c r="G61" s="612"/>
      <c r="H61" s="612"/>
      <c r="I61" s="613">
        <f>VLOOKUP($D$61,collegecode,6,FALSE)</f>
        <v>1517</v>
      </c>
      <c r="J61" s="613">
        <f>VLOOKUP($D$61,collegecode,7,FALSE)</f>
        <v>4639</v>
      </c>
      <c r="K61" s="613">
        <f>VLOOKUP($D$61,collegecode,11,FALSE)</f>
        <v>0</v>
      </c>
      <c r="L61" s="613">
        <f>J61-K61</f>
        <v>4639</v>
      </c>
      <c r="M61" s="614">
        <f>ROUND(G61+H61+(F61/F$6)+(I61/I$6)+(L61/L$6),2)</f>
        <v>320.93</v>
      </c>
      <c r="N61" s="615">
        <f>VLOOKUP($B61,weights,2,FALSE)</f>
        <v>1.018</v>
      </c>
      <c r="O61" s="618">
        <f>ROUND(M61*N61*$O$6,2)</f>
        <v>3165303.96</v>
      </c>
      <c r="P61" s="685" t="s">
        <v>315</v>
      </c>
      <c r="Q61" s="617">
        <v>0</v>
      </c>
      <c r="R61" s="570" t="s">
        <v>316</v>
      </c>
      <c r="S61" s="618">
        <f>Q61+O61</f>
        <v>3165303.96</v>
      </c>
      <c r="T61" s="686">
        <f>ROUND($S61,0)</f>
        <v>3165304</v>
      </c>
      <c r="U61" s="686">
        <f>ROUND($S61,0)</f>
        <v>3165304</v>
      </c>
      <c r="V61" s="619">
        <f t="shared" si="1"/>
        <v>6330608</v>
      </c>
    </row>
    <row r="62" spans="1:22" ht="18" customHeight="1">
      <c r="A62" s="698"/>
      <c r="F62" s="712"/>
      <c r="G62" s="712"/>
      <c r="H62" s="712"/>
      <c r="I62" s="712"/>
      <c r="J62" s="638"/>
      <c r="K62" s="638"/>
      <c r="L62" s="638"/>
      <c r="O62" s="682"/>
      <c r="P62" s="563"/>
      <c r="Q62" s="682"/>
      <c r="S62" s="682"/>
      <c r="T62" s="682"/>
      <c r="U62" s="682"/>
      <c r="V62" s="619"/>
    </row>
    <row r="63" spans="1:22" ht="18" customHeight="1">
      <c r="A63" s="656" t="s">
        <v>390</v>
      </c>
      <c r="B63" s="610" t="s">
        <v>320</v>
      </c>
      <c r="C63" s="610"/>
      <c r="D63" s="611" t="s">
        <v>391</v>
      </c>
      <c r="E63" s="671"/>
      <c r="F63" s="613">
        <f>VLOOKUP($D$63,collegecode,5,FALSE)</f>
        <v>7674</v>
      </c>
      <c r="G63" s="612"/>
      <c r="H63" s="612"/>
      <c r="I63" s="613">
        <f>VLOOKUP($D$63,collegecode,6,FALSE)</f>
        <v>19876</v>
      </c>
      <c r="J63" s="613">
        <f>VLOOKUP($D$63,collegecode,7,FALSE)</f>
        <v>5894</v>
      </c>
      <c r="K63" s="613">
        <f>VLOOKUP($D$63,collegecode,11,FALSE)</f>
        <v>0</v>
      </c>
      <c r="L63" s="613">
        <f t="shared" ref="L63:L68" si="27">J63-K63</f>
        <v>5894</v>
      </c>
      <c r="M63" s="614">
        <f t="shared" ref="M63:M66" si="28">ROUND(G63+H63+(F63/F$6)+(I63/I$6)+(L63/L$6),2)</f>
        <v>1411.41</v>
      </c>
      <c r="N63" s="615">
        <f t="shared" ref="N63:N68" si="29">VLOOKUP($B63,weights,2,FALSE)</f>
        <v>1</v>
      </c>
      <c r="O63" s="616">
        <f t="shared" ref="O63:O68" si="30">ROUND(M63*N63*$O$6,2)</f>
        <v>13674470.460000001</v>
      </c>
      <c r="P63" s="685" t="s">
        <v>315</v>
      </c>
      <c r="Q63" s="617"/>
      <c r="R63" s="570" t="s">
        <v>316</v>
      </c>
      <c r="S63" s="616">
        <f t="shared" ref="S63:S68" si="31">Q63+O63</f>
        <v>13674470.460000001</v>
      </c>
      <c r="T63" s="617"/>
      <c r="U63" s="617"/>
      <c r="V63" s="619"/>
    </row>
    <row r="64" spans="1:22" ht="18" customHeight="1">
      <c r="A64" s="700" t="s">
        <v>392</v>
      </c>
      <c r="B64" s="610" t="s">
        <v>320</v>
      </c>
      <c r="C64" s="610"/>
      <c r="D64" s="671"/>
      <c r="E64" s="669" t="s">
        <v>384</v>
      </c>
      <c r="F64" s="612"/>
      <c r="G64" s="612"/>
      <c r="H64" s="612"/>
      <c r="I64" s="613">
        <f>SUMIFS(NewData!H:H,NewData!$C:$C,'I&amp;O Calc'!$D$63,NewData!$E:$E,'I&amp;O Calc'!$E$64)</f>
        <v>0</v>
      </c>
      <c r="J64" s="612"/>
      <c r="K64" s="612"/>
      <c r="L64" s="613">
        <f t="shared" si="27"/>
        <v>0</v>
      </c>
      <c r="M64" s="614">
        <f t="shared" si="28"/>
        <v>0</v>
      </c>
      <c r="N64" s="615">
        <f t="shared" si="29"/>
        <v>1</v>
      </c>
      <c r="O64" s="620">
        <f t="shared" si="30"/>
        <v>0</v>
      </c>
      <c r="P64" s="685" t="s">
        <v>315</v>
      </c>
      <c r="Q64" s="623">
        <v>0</v>
      </c>
      <c r="R64" s="570" t="s">
        <v>316</v>
      </c>
      <c r="S64" s="620">
        <f t="shared" si="31"/>
        <v>0</v>
      </c>
      <c r="T64" s="617"/>
      <c r="U64" s="617"/>
      <c r="V64" s="619"/>
    </row>
    <row r="65" spans="1:22" ht="18" customHeight="1">
      <c r="A65" s="656" t="s">
        <v>393</v>
      </c>
      <c r="B65" s="610" t="s">
        <v>320</v>
      </c>
      <c r="C65" s="610"/>
      <c r="D65" s="671"/>
      <c r="E65" s="713" t="s">
        <v>387</v>
      </c>
      <c r="F65" s="613">
        <f>SUMIFS(NewData!G:G,NewData!$C:$C,'I&amp;O Calc'!$D$63,NewData!$E:$E,'I&amp;O Calc'!E$65)</f>
        <v>49</v>
      </c>
      <c r="G65" s="612"/>
      <c r="H65" s="612"/>
      <c r="I65" s="613">
        <f>SUMIFS(NewData!H:H,NewData!$C:$C,'I&amp;O Calc'!$D$63,NewData!$E:$E,'I&amp;O Calc'!E$65)</f>
        <v>1012</v>
      </c>
      <c r="J65" s="613">
        <f>SUMIFS(NewData!I:I,NewData!$C:$C,'I&amp;O Calc'!$D$63,NewData!$E:$E,'I&amp;O Calc'!E$65)</f>
        <v>21</v>
      </c>
      <c r="K65" s="613">
        <f>SUMIFS(NewData!M:M,NewData!$C:$C,'I&amp;O Calc'!$D$63,NewData!$E:$E,'I&amp;O Calc'!E$65)</f>
        <v>0</v>
      </c>
      <c r="L65" s="613">
        <f t="shared" si="27"/>
        <v>21</v>
      </c>
      <c r="M65" s="614">
        <f t="shared" si="28"/>
        <v>44.97</v>
      </c>
      <c r="N65" s="615">
        <f t="shared" si="29"/>
        <v>1</v>
      </c>
      <c r="O65" s="616">
        <f t="shared" si="30"/>
        <v>435692.63</v>
      </c>
      <c r="P65" s="685" t="s">
        <v>315</v>
      </c>
      <c r="Q65" s="623">
        <v>697170</v>
      </c>
      <c r="R65" s="570" t="s">
        <v>316</v>
      </c>
      <c r="S65" s="620">
        <f t="shared" si="31"/>
        <v>1132862.6299999999</v>
      </c>
      <c r="T65" s="617"/>
      <c r="U65" s="617"/>
      <c r="V65" s="619"/>
    </row>
    <row r="66" spans="1:22" ht="18" customHeight="1">
      <c r="A66" s="656" t="s">
        <v>394</v>
      </c>
      <c r="B66" s="610" t="s">
        <v>320</v>
      </c>
      <c r="C66" s="610"/>
      <c r="D66" s="611" t="s">
        <v>395</v>
      </c>
      <c r="E66" s="671"/>
      <c r="F66" s="613">
        <f>VLOOKUP($D$66,collegecode,5,FALSE)</f>
        <v>0</v>
      </c>
      <c r="G66" s="612"/>
      <c r="H66" s="612"/>
      <c r="I66" s="613">
        <f>VLOOKUP($D$66,collegecode,6,FALSE)</f>
        <v>307</v>
      </c>
      <c r="J66" s="613">
        <f>VLOOKUP($D$66,collegecode,7,FALSE)</f>
        <v>0</v>
      </c>
      <c r="K66" s="613">
        <f>VLOOKUP($D$66,collegecode,11,FALSE)</f>
        <v>0</v>
      </c>
      <c r="L66" s="613">
        <f t="shared" si="27"/>
        <v>0</v>
      </c>
      <c r="M66" s="614">
        <f t="shared" si="28"/>
        <v>12.79</v>
      </c>
      <c r="N66" s="615">
        <f t="shared" si="29"/>
        <v>1</v>
      </c>
      <c r="O66" s="616">
        <f t="shared" si="30"/>
        <v>123916.14</v>
      </c>
      <c r="P66" s="685" t="s">
        <v>315</v>
      </c>
      <c r="Q66" s="617"/>
      <c r="R66" s="570" t="s">
        <v>316</v>
      </c>
      <c r="S66" s="616">
        <f t="shared" si="31"/>
        <v>123916.14</v>
      </c>
      <c r="T66" s="617"/>
      <c r="U66" s="617"/>
      <c r="V66" s="619"/>
    </row>
    <row r="67" spans="1:22" ht="18" customHeight="1">
      <c r="A67" s="656" t="s">
        <v>396</v>
      </c>
      <c r="B67" s="610" t="s">
        <v>320</v>
      </c>
      <c r="C67" s="610"/>
      <c r="D67" s="671"/>
      <c r="E67" s="669" t="s">
        <v>397</v>
      </c>
      <c r="F67" s="613">
        <f>SUMIFS(NewData!G:G,NewData!$C:$C,'I&amp;O Calc'!$D$66,NewData!$E:$E,'I&amp;O Calc'!E$67)</f>
        <v>0</v>
      </c>
      <c r="G67" s="612"/>
      <c r="H67" s="612"/>
      <c r="I67" s="613">
        <f>SUMIFS(NewData!H:H,NewData!$C:$C,'I&amp;O Calc'!$D$66,NewData!$E:$E,'I&amp;O Calc'!E$67)</f>
        <v>34</v>
      </c>
      <c r="J67" s="612"/>
      <c r="K67" s="612"/>
      <c r="L67" s="613">
        <f t="shared" si="27"/>
        <v>0</v>
      </c>
      <c r="M67" s="614">
        <f>ROUND(G67+H67+(F67/F$6)+(I67/I$6)+(L67/L$6),2)</f>
        <v>1.42</v>
      </c>
      <c r="N67" s="615">
        <f t="shared" si="29"/>
        <v>1</v>
      </c>
      <c r="O67" s="616">
        <f t="shared" si="30"/>
        <v>13757.69</v>
      </c>
      <c r="P67" s="685" t="s">
        <v>315</v>
      </c>
      <c r="Q67" s="617">
        <v>28198</v>
      </c>
      <c r="R67" s="570" t="s">
        <v>316</v>
      </c>
      <c r="S67" s="620">
        <f t="shared" si="31"/>
        <v>41955.69</v>
      </c>
      <c r="T67" s="617"/>
      <c r="U67" s="617"/>
      <c r="V67" s="619"/>
    </row>
    <row r="68" spans="1:22" ht="18" customHeight="1">
      <c r="A68" s="656" t="s">
        <v>398</v>
      </c>
      <c r="B68" s="610" t="s">
        <v>320</v>
      </c>
      <c r="C68" s="610"/>
      <c r="D68" s="611" t="s">
        <v>399</v>
      </c>
      <c r="E68" s="701"/>
      <c r="F68" s="613">
        <f>VLOOKUP($D$68,collegecode,5,FALSE)</f>
        <v>1312</v>
      </c>
      <c r="G68" s="612"/>
      <c r="H68" s="612"/>
      <c r="I68" s="612"/>
      <c r="J68" s="612"/>
      <c r="K68" s="612"/>
      <c r="L68" s="613">
        <f t="shared" si="27"/>
        <v>0</v>
      </c>
      <c r="M68" s="614">
        <f>ROUND(G68+H68+(F68/F$6)+(I68/I$6)+(L68/L$6),2)</f>
        <v>43.73</v>
      </c>
      <c r="N68" s="615">
        <f t="shared" si="29"/>
        <v>1</v>
      </c>
      <c r="O68" s="616">
        <f t="shared" si="30"/>
        <v>423678.87</v>
      </c>
      <c r="P68" s="685" t="s">
        <v>315</v>
      </c>
      <c r="Q68" s="617"/>
      <c r="R68" s="570" t="s">
        <v>316</v>
      </c>
      <c r="S68" s="620">
        <f t="shared" si="31"/>
        <v>423678.87</v>
      </c>
      <c r="T68" s="617"/>
      <c r="U68" s="617"/>
      <c r="V68" s="619"/>
    </row>
    <row r="69" spans="1:22" ht="18" customHeight="1">
      <c r="A69" s="670" t="s">
        <v>400</v>
      </c>
      <c r="B69" s="610"/>
      <c r="C69" s="610" t="s">
        <v>321</v>
      </c>
      <c r="D69" s="671"/>
      <c r="E69" s="671"/>
      <c r="F69" s="613">
        <f>SUM(F63:F68)</f>
        <v>9035</v>
      </c>
      <c r="G69" s="613"/>
      <c r="H69" s="613"/>
      <c r="I69" s="613">
        <f>SUM(I63:I68)</f>
        <v>21229</v>
      </c>
      <c r="J69" s="613">
        <f>SUM(J63:J68)</f>
        <v>5915</v>
      </c>
      <c r="K69" s="613">
        <f>SUM(K63:K68)</f>
        <v>0</v>
      </c>
      <c r="L69" s="613">
        <f>SUM(L63:L68)</f>
        <v>5915</v>
      </c>
      <c r="M69" s="614">
        <f>SUM(M63:M68)</f>
        <v>1514.3200000000002</v>
      </c>
      <c r="N69" s="615"/>
      <c r="O69" s="618">
        <f>SUM(O63:O68)</f>
        <v>14671515.790000001</v>
      </c>
      <c r="P69" s="685"/>
      <c r="Q69" s="686">
        <f>SUM(Q63:Q68)</f>
        <v>725368</v>
      </c>
      <c r="R69" s="570"/>
      <c r="S69" s="618">
        <f>SUM(S63:S68)</f>
        <v>15396883.789999999</v>
      </c>
      <c r="T69" s="686">
        <f>ROUND($S69,0)</f>
        <v>15396884</v>
      </c>
      <c r="U69" s="686">
        <f>ROUND($S69,0)</f>
        <v>15396884</v>
      </c>
      <c r="V69" s="619">
        <f t="shared" si="1"/>
        <v>30793768</v>
      </c>
    </row>
    <row r="70" spans="1:22" ht="18" customHeight="1">
      <c r="A70" s="699"/>
      <c r="F70" s="638"/>
      <c r="G70" s="638"/>
      <c r="H70" s="638"/>
      <c r="I70" s="638"/>
      <c r="J70" s="638"/>
      <c r="K70" s="638"/>
      <c r="L70" s="638"/>
      <c r="O70" s="682"/>
      <c r="P70" s="563"/>
      <c r="Q70" s="682"/>
      <c r="S70" s="682"/>
      <c r="T70" s="682"/>
      <c r="U70" s="682"/>
      <c r="V70" s="619"/>
    </row>
    <row r="71" spans="1:22" ht="18" customHeight="1">
      <c r="A71" s="683" t="s">
        <v>401</v>
      </c>
      <c r="B71" s="610" t="s">
        <v>331</v>
      </c>
      <c r="C71" s="610"/>
      <c r="D71" s="611" t="s">
        <v>402</v>
      </c>
      <c r="E71" s="671"/>
      <c r="F71" s="613">
        <f>VLOOKUP($D$71,collegecode,5,FALSE)</f>
        <v>19064</v>
      </c>
      <c r="G71" s="612"/>
      <c r="H71" s="612"/>
      <c r="I71" s="613">
        <f>VLOOKUP($D$71,collegecode,6,FALSE)</f>
        <v>48</v>
      </c>
      <c r="J71" s="613">
        <f>VLOOKUP($D$71,collegecode,7,FALSE)</f>
        <v>4225</v>
      </c>
      <c r="K71" s="613">
        <f>VLOOKUP(D71,collegecode,11,FALSE)</f>
        <v>0</v>
      </c>
      <c r="L71" s="613">
        <f>J71-K71</f>
        <v>4225</v>
      </c>
      <c r="M71" s="614">
        <f>ROUND(G71+H71+(F71/F$6)+(I71/I$6)+(L71/L$6),2)</f>
        <v>872.19</v>
      </c>
      <c r="N71" s="615">
        <f>VLOOKUP($B71,weights,2,FALSE)</f>
        <v>1.1379999999999999</v>
      </c>
      <c r="O71" s="618">
        <f>ROUND(M71*N71*$O$6,2)</f>
        <v>9616359.5399999991</v>
      </c>
      <c r="P71" s="685" t="s">
        <v>315</v>
      </c>
      <c r="Q71" s="617"/>
      <c r="R71" s="570" t="s">
        <v>316</v>
      </c>
      <c r="S71" s="714">
        <f>Q71+O71</f>
        <v>9616359.5399999991</v>
      </c>
      <c r="T71" s="617"/>
      <c r="U71" s="617"/>
      <c r="V71" s="619"/>
    </row>
    <row r="72" spans="1:22" ht="21.75" customHeight="1">
      <c r="A72" s="715" t="s">
        <v>403</v>
      </c>
      <c r="B72" s="610" t="s">
        <v>331</v>
      </c>
      <c r="C72" s="610"/>
      <c r="D72" s="716"/>
      <c r="E72" s="669" t="s">
        <v>387</v>
      </c>
      <c r="F72" s="613">
        <f>SUMIFS(NewData!G:G,NewData!$C:$C,D71,NewData!$E:$E,'I&amp;O Calc'!E$72)</f>
        <v>0</v>
      </c>
      <c r="G72" s="717"/>
      <c r="H72" s="717"/>
      <c r="I72" s="613">
        <f>SUMIFS(NewData!H:H,NewData!$C:$C,'I&amp;O Calc'!#REF!,NewData!$E:$E,'I&amp;O Calc'!E$72)</f>
        <v>0</v>
      </c>
      <c r="J72" s="717"/>
      <c r="K72" s="717"/>
      <c r="L72" s="647"/>
      <c r="M72" s="718">
        <f>ROUND(G72+H72+(F72/F$6)+(I72/I$6)+(L72/L$6),2)</f>
        <v>0</v>
      </c>
      <c r="N72" s="705">
        <f>VLOOKUP($B72,weights,2,FALSE)</f>
        <v>1.1379999999999999</v>
      </c>
      <c r="O72" s="618">
        <f>ROUND(M72*N72*$O$6,2)</f>
        <v>0</v>
      </c>
      <c r="P72" s="563" t="s">
        <v>315</v>
      </c>
      <c r="Q72" s="617">
        <v>0</v>
      </c>
      <c r="R72" s="709" t="s">
        <v>316</v>
      </c>
      <c r="S72" s="677">
        <f>Q72+O72</f>
        <v>0</v>
      </c>
      <c r="T72" s="617"/>
      <c r="U72" s="617"/>
      <c r="V72" s="619"/>
    </row>
    <row r="73" spans="1:22" ht="18" customHeight="1" thickBot="1">
      <c r="A73" s="688" t="s">
        <v>363</v>
      </c>
      <c r="B73" s="610"/>
      <c r="C73" s="610" t="s">
        <v>332</v>
      </c>
      <c r="D73" s="671"/>
      <c r="E73" s="671"/>
      <c r="F73" s="672">
        <f>SUM(F71:F72)</f>
        <v>19064</v>
      </c>
      <c r="G73" s="672">
        <f t="shared" ref="G73:M73" si="32">SUM(G71:G72)</f>
        <v>0</v>
      </c>
      <c r="H73" s="672">
        <f t="shared" si="32"/>
        <v>0</v>
      </c>
      <c r="I73" s="672">
        <f t="shared" si="32"/>
        <v>48</v>
      </c>
      <c r="J73" s="672">
        <f t="shared" si="32"/>
        <v>4225</v>
      </c>
      <c r="K73" s="672">
        <f t="shared" si="32"/>
        <v>0</v>
      </c>
      <c r="L73" s="672">
        <f t="shared" si="32"/>
        <v>4225</v>
      </c>
      <c r="M73" s="719">
        <f t="shared" si="32"/>
        <v>872.19</v>
      </c>
      <c r="N73" s="689"/>
      <c r="O73" s="618">
        <f>SUM(O71:O72)</f>
        <v>9616359.5399999991</v>
      </c>
      <c r="P73" s="685"/>
      <c r="Q73" s="621">
        <f>SUM(Q71:Q72)</f>
        <v>0</v>
      </c>
      <c r="R73" s="709"/>
      <c r="S73" s="618">
        <f>SUM(S71:S72)</f>
        <v>9616359.5399999991</v>
      </c>
      <c r="T73" s="686">
        <f>ROUND($S73,0)</f>
        <v>9616360</v>
      </c>
      <c r="U73" s="686">
        <f>ROUND($S73,0)</f>
        <v>9616360</v>
      </c>
      <c r="V73" s="619">
        <f t="shared" si="1"/>
        <v>19232720</v>
      </c>
    </row>
    <row r="74" spans="1:22" s="575" customFormat="1" ht="18" customHeight="1" thickBot="1">
      <c r="A74" s="720" t="s">
        <v>404</v>
      </c>
      <c r="B74" s="721" t="s">
        <v>324</v>
      </c>
      <c r="C74" s="721" t="s">
        <v>405</v>
      </c>
      <c r="D74" s="722"/>
      <c r="E74" s="722"/>
      <c r="F74" s="723">
        <f t="shared" ref="F74:M74" si="33">F54+F59+F61+F69+F73</f>
        <v>28099</v>
      </c>
      <c r="G74" s="723">
        <f t="shared" si="33"/>
        <v>1293</v>
      </c>
      <c r="H74" s="723">
        <f t="shared" si="33"/>
        <v>100</v>
      </c>
      <c r="I74" s="723">
        <f t="shared" si="33"/>
        <v>22794</v>
      </c>
      <c r="J74" s="723">
        <f t="shared" si="33"/>
        <v>14779</v>
      </c>
      <c r="K74" s="723">
        <f t="shared" si="33"/>
        <v>0</v>
      </c>
      <c r="L74" s="724">
        <f t="shared" si="33"/>
        <v>14779</v>
      </c>
      <c r="M74" s="630">
        <f t="shared" si="33"/>
        <v>4100.4400000000005</v>
      </c>
      <c r="N74" s="725"/>
      <c r="O74" s="723">
        <f>O54+O59+O61+O69+O73</f>
        <v>90834385.24000001</v>
      </c>
      <c r="P74" s="633" t="s">
        <v>315</v>
      </c>
      <c r="Q74" s="723">
        <f>Q54+Q59+Q61+Q69+Q73</f>
        <v>842968</v>
      </c>
      <c r="R74" s="696" t="s">
        <v>316</v>
      </c>
      <c r="S74" s="723">
        <f>S54+S59+S61+S69+S73</f>
        <v>91677353.24000001</v>
      </c>
      <c r="T74" s="650">
        <f>T54+T59+T61+T69+T73</f>
        <v>91677354</v>
      </c>
      <c r="U74" s="650">
        <f>U54+U59+U61+U69+U73</f>
        <v>91677354</v>
      </c>
      <c r="V74" s="619">
        <f t="shared" si="1"/>
        <v>183354708</v>
      </c>
    </row>
    <row r="75" spans="1:22" ht="18" customHeight="1">
      <c r="A75" s="726"/>
      <c r="F75" s="638"/>
      <c r="G75" s="638"/>
      <c r="H75" s="638"/>
      <c r="I75" s="638"/>
      <c r="J75" s="638"/>
      <c r="K75" s="638"/>
      <c r="L75" s="638"/>
      <c r="M75" s="571" t="str">
        <f>IF(M74=NewData!Q20,"","Error")</f>
        <v/>
      </c>
      <c r="N75" s="727"/>
      <c r="O75" s="728"/>
      <c r="P75" s="729"/>
      <c r="Q75" s="730"/>
      <c r="R75" s="731"/>
      <c r="S75" s="698"/>
      <c r="T75" s="728"/>
      <c r="U75" s="728"/>
      <c r="V75" s="619"/>
    </row>
    <row r="76" spans="1:22" ht="18" customHeight="1">
      <c r="A76" s="726"/>
      <c r="F76" s="548"/>
      <c r="G76" s="638"/>
      <c r="H76" s="638"/>
      <c r="I76" s="548"/>
      <c r="J76" s="548"/>
      <c r="L76" s="548"/>
      <c r="M76" s="640"/>
      <c r="N76" s="727"/>
      <c r="O76" s="728"/>
      <c r="P76" s="729"/>
      <c r="Q76" s="730"/>
      <c r="R76" s="731"/>
      <c r="S76" s="732"/>
      <c r="T76" s="728"/>
      <c r="U76" s="728"/>
      <c r="V76" s="619"/>
    </row>
    <row r="77" spans="1:22" ht="18" customHeight="1" thickBot="1">
      <c r="A77" s="733" t="s">
        <v>406</v>
      </c>
      <c r="B77" s="606"/>
      <c r="C77" s="606"/>
      <c r="D77" s="641"/>
      <c r="E77" s="641"/>
      <c r="F77" s="642"/>
      <c r="G77" s="642"/>
      <c r="H77" s="642"/>
      <c r="I77" s="642"/>
      <c r="J77" s="638"/>
      <c r="K77" s="638"/>
      <c r="L77" s="638"/>
      <c r="O77" s="639"/>
      <c r="S77" s="619"/>
      <c r="V77" s="619"/>
    </row>
    <row r="78" spans="1:22" ht="18" customHeight="1" thickBot="1">
      <c r="A78" s="734" t="s">
        <v>240</v>
      </c>
      <c r="B78" s="610" t="s">
        <v>320</v>
      </c>
      <c r="C78" s="610" t="s">
        <v>321</v>
      </c>
      <c r="D78" s="611" t="s">
        <v>407</v>
      </c>
      <c r="E78" s="671"/>
      <c r="F78" s="613">
        <f>VLOOKUP($D$78,collegecode,5,FALSE)</f>
        <v>10797</v>
      </c>
      <c r="G78" s="612"/>
      <c r="H78" s="612"/>
      <c r="I78" s="613">
        <f>VLOOKUP($D$78,collegecode,6,FALSE)</f>
        <v>718</v>
      </c>
      <c r="J78" s="612"/>
      <c r="K78" s="612"/>
      <c r="L78" s="613">
        <f>J78-K78</f>
        <v>0</v>
      </c>
      <c r="M78" s="735">
        <f>ROUND(G78+H78+(F78/F$6)+(I78/I$6)+(L78/L$6),2)</f>
        <v>389.82</v>
      </c>
      <c r="N78" s="736">
        <f>VLOOKUP($B78,weights,2,FALSE)</f>
        <v>1</v>
      </c>
      <c r="O78" s="737">
        <f>ROUND(M78*N78*$O$6,2)</f>
        <v>3776777.89</v>
      </c>
      <c r="P78" s="738" t="s">
        <v>315</v>
      </c>
      <c r="Q78" s="617"/>
      <c r="R78" s="739" t="s">
        <v>316</v>
      </c>
      <c r="S78" s="616">
        <f>Q78+O78</f>
        <v>3776777.89</v>
      </c>
      <c r="T78" s="617">
        <f>ROUND($S78,0)</f>
        <v>3776778</v>
      </c>
      <c r="U78" s="617">
        <f>ROUND($S78,0)</f>
        <v>3776778</v>
      </c>
      <c r="V78" s="619">
        <f t="shared" ref="V78:V136" si="34">T78+U78</f>
        <v>7553556</v>
      </c>
    </row>
    <row r="79" spans="1:22" s="575" customFormat="1" ht="18" customHeight="1" thickBot="1">
      <c r="A79" s="626" t="s">
        <v>408</v>
      </c>
      <c r="B79" s="721" t="s">
        <v>324</v>
      </c>
      <c r="C79" s="721" t="s">
        <v>409</v>
      </c>
      <c r="D79" s="722"/>
      <c r="E79" s="722"/>
      <c r="F79" s="723">
        <f t="shared" ref="F79:I79" si="35">SUM(F78)</f>
        <v>10797</v>
      </c>
      <c r="G79" s="723"/>
      <c r="H79" s="723"/>
      <c r="I79" s="723">
        <f t="shared" si="35"/>
        <v>718</v>
      </c>
      <c r="J79" s="723"/>
      <c r="K79" s="723"/>
      <c r="L79" s="723">
        <f t="shared" ref="L79:M79" si="36">SUM(L78)</f>
        <v>0</v>
      </c>
      <c r="M79" s="740">
        <f t="shared" si="36"/>
        <v>389.82</v>
      </c>
      <c r="N79" s="741"/>
      <c r="O79" s="636">
        <f>SUM(O78)</f>
        <v>3776777.89</v>
      </c>
      <c r="P79" s="742"/>
      <c r="Q79" s="637"/>
      <c r="R79" s="743"/>
      <c r="S79" s="636">
        <f>SUM(S78)</f>
        <v>3776777.89</v>
      </c>
      <c r="T79" s="637">
        <f>SUM(T78)</f>
        <v>3776778</v>
      </c>
      <c r="U79" s="637">
        <f>SUM(U78)</f>
        <v>3776778</v>
      </c>
      <c r="V79" s="619">
        <f t="shared" si="34"/>
        <v>7553556</v>
      </c>
    </row>
    <row r="80" spans="1:22" ht="18" customHeight="1">
      <c r="A80" s="726"/>
      <c r="F80" s="638"/>
      <c r="G80" s="638"/>
      <c r="H80" s="638"/>
      <c r="I80" s="638"/>
      <c r="J80" s="638"/>
      <c r="K80" s="638"/>
      <c r="L80" s="638"/>
      <c r="M80" s="571" t="str">
        <f>IF(M79=NewData!Q88,"","Error")</f>
        <v/>
      </c>
      <c r="N80" s="727"/>
      <c r="O80" s="728"/>
      <c r="P80" s="729"/>
      <c r="Q80" s="730"/>
      <c r="R80" s="731"/>
      <c r="S80" s="698"/>
      <c r="T80" s="728"/>
      <c r="U80" s="728"/>
      <c r="V80" s="619"/>
    </row>
    <row r="81" spans="1:22" ht="18" customHeight="1">
      <c r="A81" s="726"/>
      <c r="F81" s="548"/>
      <c r="G81" s="638"/>
      <c r="H81" s="638"/>
      <c r="I81" s="548"/>
      <c r="J81" s="548"/>
      <c r="L81" s="548"/>
      <c r="M81" s="640"/>
      <c r="N81" s="727"/>
      <c r="O81" s="728"/>
      <c r="P81" s="729"/>
      <c r="Q81" s="730"/>
      <c r="R81" s="731"/>
      <c r="S81" s="698"/>
      <c r="T81" s="728"/>
      <c r="U81" s="728"/>
      <c r="V81" s="619"/>
    </row>
    <row r="82" spans="1:22" ht="18" customHeight="1">
      <c r="A82" s="744" t="s">
        <v>410</v>
      </c>
      <c r="B82" s="606"/>
      <c r="C82" s="606"/>
      <c r="D82" s="641"/>
      <c r="E82" s="641"/>
      <c r="F82" s="642"/>
      <c r="G82" s="642"/>
      <c r="H82" s="642"/>
      <c r="I82" s="642"/>
      <c r="J82" s="638"/>
      <c r="K82" s="638"/>
      <c r="L82" s="638"/>
      <c r="M82" s="640"/>
      <c r="N82" s="727"/>
      <c r="O82" s="728"/>
      <c r="P82" s="729"/>
      <c r="Q82" s="730"/>
      <c r="R82" s="731"/>
      <c r="S82" s="698"/>
      <c r="T82" s="728"/>
      <c r="U82" s="728"/>
      <c r="V82" s="619"/>
    </row>
    <row r="83" spans="1:22" ht="18" customHeight="1">
      <c r="A83" s="734" t="s">
        <v>241</v>
      </c>
      <c r="B83" s="610" t="s">
        <v>317</v>
      </c>
      <c r="C83" s="610" t="s">
        <v>318</v>
      </c>
      <c r="D83" s="611" t="s">
        <v>411</v>
      </c>
      <c r="E83" s="671"/>
      <c r="F83" s="612"/>
      <c r="G83" s="612"/>
      <c r="H83" s="612"/>
      <c r="I83" s="613">
        <f>VLOOKUP($D$83,collegecode,6,FALSE)</f>
        <v>439</v>
      </c>
      <c r="J83" s="612"/>
      <c r="K83" s="612"/>
      <c r="L83" s="684">
        <f>J83-K83</f>
        <v>0</v>
      </c>
      <c r="M83" s="745">
        <f>ROUND(G83+H83+(F83/F$6)+(I83/I$6)+(L83/L$6),2)</f>
        <v>18.29</v>
      </c>
      <c r="N83" s="736">
        <f>VLOOKUP($B83,weights,2,FALSE)</f>
        <v>1.018</v>
      </c>
      <c r="O83" s="737">
        <f>ROUND(M83*N83*$O$6,2)</f>
        <v>180392.64</v>
      </c>
      <c r="P83" s="738" t="s">
        <v>315</v>
      </c>
      <c r="Q83" s="617">
        <v>332348</v>
      </c>
      <c r="R83" s="739" t="s">
        <v>316</v>
      </c>
      <c r="S83" s="737">
        <f>Q83+O83</f>
        <v>512740.64</v>
      </c>
      <c r="T83" s="617">
        <f t="shared" ref="T83:U84" si="37">ROUND($S83,0)</f>
        <v>512741</v>
      </c>
      <c r="U83" s="617">
        <f t="shared" si="37"/>
        <v>512741</v>
      </c>
      <c r="V83" s="619">
        <f t="shared" si="34"/>
        <v>1025482</v>
      </c>
    </row>
    <row r="84" spans="1:22" ht="18" customHeight="1" thickBot="1">
      <c r="A84" s="734" t="s">
        <v>412</v>
      </c>
      <c r="B84" s="610" t="s">
        <v>335</v>
      </c>
      <c r="C84" s="610" t="s">
        <v>336</v>
      </c>
      <c r="D84" s="611" t="s">
        <v>413</v>
      </c>
      <c r="E84" s="671"/>
      <c r="F84" s="612"/>
      <c r="G84" s="612"/>
      <c r="H84" s="612"/>
      <c r="I84" s="613">
        <f>VLOOKUP($D$84,collegecode,6,FALSE)</f>
        <v>1435</v>
      </c>
      <c r="J84" s="612"/>
      <c r="K84" s="612"/>
      <c r="L84" s="613">
        <f>J84-K84</f>
        <v>0</v>
      </c>
      <c r="M84" s="704">
        <f>ROUND(G84+H84+(F84/F$6)+(I84/I$6)+(L84/L$6),2)</f>
        <v>59.79</v>
      </c>
      <c r="N84" s="736">
        <f>VLOOKUP($B84,weights,2,FALSE)</f>
        <v>1.7210000000000001</v>
      </c>
      <c r="O84" s="737">
        <f>ROUND(M84*N84*$O$6,2)</f>
        <v>996934.79</v>
      </c>
      <c r="P84" s="738" t="s">
        <v>315</v>
      </c>
      <c r="Q84" s="617">
        <v>838316</v>
      </c>
      <c r="R84" s="739" t="s">
        <v>316</v>
      </c>
      <c r="S84" s="737">
        <f>Q84+O84</f>
        <v>1835250.79</v>
      </c>
      <c r="T84" s="617">
        <f t="shared" si="37"/>
        <v>1835251</v>
      </c>
      <c r="U84" s="617">
        <f t="shared" si="37"/>
        <v>1835251</v>
      </c>
      <c r="V84" s="619">
        <f t="shared" si="34"/>
        <v>3670502</v>
      </c>
    </row>
    <row r="85" spans="1:22" s="575" customFormat="1" ht="18" customHeight="1" thickBot="1">
      <c r="A85" s="746" t="s">
        <v>414</v>
      </c>
      <c r="B85" s="721" t="s">
        <v>324</v>
      </c>
      <c r="C85" s="721" t="s">
        <v>415</v>
      </c>
      <c r="D85" s="722"/>
      <c r="E85" s="722"/>
      <c r="F85" s="723"/>
      <c r="G85" s="723"/>
      <c r="H85" s="723"/>
      <c r="I85" s="723">
        <f>SUM(I83:I84)</f>
        <v>1874</v>
      </c>
      <c r="J85" s="723"/>
      <c r="K85" s="723"/>
      <c r="L85" s="723">
        <f>J85-K85</f>
        <v>0</v>
      </c>
      <c r="M85" s="740">
        <f>SUM(M83:M84)</f>
        <v>78.08</v>
      </c>
      <c r="N85" s="741"/>
      <c r="O85" s="636">
        <f>SUM(O83:O84)</f>
        <v>1177327.4300000002</v>
      </c>
      <c r="P85" s="637" t="s">
        <v>315</v>
      </c>
      <c r="Q85" s="637">
        <f>SUM(Q83:Q84)</f>
        <v>1170664</v>
      </c>
      <c r="R85" s="743" t="s">
        <v>316</v>
      </c>
      <c r="S85" s="632">
        <f>SUM(S83:S84)</f>
        <v>2347991.4300000002</v>
      </c>
      <c r="T85" s="637">
        <f>SUM(T83:T84)</f>
        <v>2347992</v>
      </c>
      <c r="U85" s="637">
        <f>SUM(U83:U84)</f>
        <v>2347992</v>
      </c>
      <c r="V85" s="619">
        <f t="shared" si="34"/>
        <v>4695984</v>
      </c>
    </row>
    <row r="86" spans="1:22" s="575" customFormat="1" ht="18" customHeight="1">
      <c r="A86" s="747"/>
      <c r="D86" s="748"/>
      <c r="E86" s="748"/>
      <c r="F86" s="749"/>
      <c r="G86" s="749"/>
      <c r="H86" s="749"/>
      <c r="I86" s="749"/>
      <c r="J86" s="749"/>
      <c r="K86" s="749"/>
      <c r="L86" s="749"/>
      <c r="M86" s="750"/>
      <c r="N86" s="751"/>
      <c r="O86" s="752"/>
      <c r="P86" s="753"/>
      <c r="Q86" s="753"/>
      <c r="R86" s="574"/>
      <c r="S86" s="752"/>
      <c r="T86" s="753"/>
      <c r="U86" s="753"/>
      <c r="V86" s="619"/>
    </row>
    <row r="87" spans="1:22" ht="21" customHeight="1">
      <c r="A87" s="754"/>
      <c r="F87" s="638"/>
      <c r="G87" s="638"/>
      <c r="H87" s="638"/>
      <c r="I87" s="638"/>
      <c r="J87" s="638"/>
      <c r="K87" s="638"/>
      <c r="L87" s="638"/>
      <c r="M87" s="571" t="str">
        <f>IF(M85=NewData!Q90,"","Error")</f>
        <v/>
      </c>
      <c r="O87" s="755"/>
      <c r="P87" s="619"/>
      <c r="Q87" s="682"/>
      <c r="S87" s="755"/>
      <c r="T87" s="619"/>
      <c r="U87" s="619"/>
      <c r="V87" s="619"/>
    </row>
    <row r="88" spans="1:22" ht="18" customHeight="1">
      <c r="A88" s="605" t="s">
        <v>416</v>
      </c>
      <c r="B88" s="606"/>
      <c r="C88" s="606"/>
      <c r="D88" s="641"/>
      <c r="E88" s="641"/>
      <c r="F88" s="642"/>
      <c r="G88" s="642"/>
      <c r="H88" s="642"/>
      <c r="I88" s="642"/>
      <c r="J88" s="638"/>
      <c r="K88" s="638"/>
      <c r="L88" s="638"/>
      <c r="O88" s="639"/>
      <c r="Q88" s="682"/>
      <c r="S88" s="682"/>
      <c r="V88" s="619"/>
    </row>
    <row r="89" spans="1:22" ht="18" customHeight="1">
      <c r="A89" s="756" t="s">
        <v>417</v>
      </c>
      <c r="B89" s="610" t="s">
        <v>312</v>
      </c>
      <c r="C89" s="610"/>
      <c r="D89" s="611" t="s">
        <v>418</v>
      </c>
      <c r="E89" s="671"/>
      <c r="F89" s="612"/>
      <c r="G89" s="613">
        <f>VLOOKUP($D$89,collegecode,8,FALSE)</f>
        <v>271</v>
      </c>
      <c r="H89" s="612"/>
      <c r="I89" s="612"/>
      <c r="J89" s="612"/>
      <c r="K89" s="612"/>
      <c r="L89" s="613">
        <f t="shared" ref="L89:L94" si="38">J89-K89</f>
        <v>0</v>
      </c>
      <c r="M89" s="614">
        <f t="shared" ref="M89:M94" si="39">ROUND(G89+H89+(F89/F$6)+(I89/I$6)+(L89/L$6),2)</f>
        <v>271</v>
      </c>
      <c r="N89" s="615">
        <f t="shared" ref="N89:N94" si="40">VLOOKUP($B89,weights,2,FALSE)</f>
        <v>4.7530000000000001</v>
      </c>
      <c r="O89" s="616">
        <f t="shared" ref="O89:O94" si="41">ROUND(M89*N89*$O$6,2)</f>
        <v>12479420.890000001</v>
      </c>
      <c r="P89" s="617" t="s">
        <v>315</v>
      </c>
      <c r="Q89" s="617"/>
      <c r="R89" s="570" t="s">
        <v>316</v>
      </c>
      <c r="S89" s="616">
        <f t="shared" ref="S89:S93" si="42">Q89+O89</f>
        <v>12479420.890000001</v>
      </c>
      <c r="T89" s="617"/>
      <c r="U89" s="617"/>
      <c r="V89" s="619"/>
    </row>
    <row r="90" spans="1:22" ht="18" customHeight="1">
      <c r="A90" s="656" t="s">
        <v>419</v>
      </c>
      <c r="B90" s="610" t="s">
        <v>312</v>
      </c>
      <c r="C90" s="610"/>
      <c r="D90" s="671"/>
      <c r="E90" s="669" t="s">
        <v>420</v>
      </c>
      <c r="F90" s="612"/>
      <c r="G90" s="613">
        <f>SUMIFS(NewData!J:J,NewData!$C:$C,'I&amp;O Calc'!$D$89,NewData!$E:$E,'I&amp;O Calc'!$E$90)</f>
        <v>135</v>
      </c>
      <c r="H90" s="612"/>
      <c r="I90" s="612"/>
      <c r="J90" s="612"/>
      <c r="K90" s="612"/>
      <c r="L90" s="613">
        <f t="shared" si="38"/>
        <v>0</v>
      </c>
      <c r="M90" s="614">
        <f t="shared" si="39"/>
        <v>135</v>
      </c>
      <c r="N90" s="615">
        <f t="shared" si="40"/>
        <v>4.7530000000000001</v>
      </c>
      <c r="O90" s="620">
        <f t="shared" si="41"/>
        <v>6216685.6900000004</v>
      </c>
      <c r="P90" s="617" t="s">
        <v>315</v>
      </c>
      <c r="Q90" s="623">
        <f t="shared" ref="Q90:Q93" si="43">ROUND(IF(M90&lt;ClassSize,(1-(M90/200))*(VLOOKUP($B90,weights,3,FALSE))*M90,0),0)</f>
        <v>1316250</v>
      </c>
      <c r="R90" s="570" t="s">
        <v>316</v>
      </c>
      <c r="S90" s="620">
        <f t="shared" si="42"/>
        <v>7532935.6900000004</v>
      </c>
      <c r="T90" s="617"/>
      <c r="U90" s="617"/>
      <c r="V90" s="619"/>
    </row>
    <row r="91" spans="1:22" ht="18" customHeight="1">
      <c r="A91" s="656" t="s">
        <v>421</v>
      </c>
      <c r="B91" s="610" t="s">
        <v>312</v>
      </c>
      <c r="C91" s="610"/>
      <c r="D91" s="671"/>
      <c r="E91" s="669" t="s">
        <v>422</v>
      </c>
      <c r="F91" s="612"/>
      <c r="G91" s="613">
        <f>SUMIFS(NewData!J:J,NewData!$C:$C,'I&amp;O Calc'!$D$89,NewData!$E:$E,'I&amp;O Calc'!$E$91)</f>
        <v>178</v>
      </c>
      <c r="H91" s="612"/>
      <c r="I91" s="612"/>
      <c r="J91" s="612"/>
      <c r="K91" s="612"/>
      <c r="L91" s="613">
        <f t="shared" si="38"/>
        <v>0</v>
      </c>
      <c r="M91" s="614">
        <f t="shared" si="39"/>
        <v>178</v>
      </c>
      <c r="N91" s="615">
        <f t="shared" si="40"/>
        <v>4.7530000000000001</v>
      </c>
      <c r="O91" s="620">
        <f t="shared" si="41"/>
        <v>8196815.2000000002</v>
      </c>
      <c r="P91" s="617" t="s">
        <v>315</v>
      </c>
      <c r="Q91" s="623">
        <v>587400</v>
      </c>
      <c r="R91" s="570" t="s">
        <v>316</v>
      </c>
      <c r="S91" s="620">
        <f>Q91+O91</f>
        <v>8784215.1999999993</v>
      </c>
      <c r="T91" s="617"/>
      <c r="U91" s="617"/>
      <c r="V91" s="619"/>
    </row>
    <row r="92" spans="1:22" ht="18" customHeight="1">
      <c r="A92" s="756" t="s">
        <v>423</v>
      </c>
      <c r="B92" s="610" t="s">
        <v>312</v>
      </c>
      <c r="C92" s="610"/>
      <c r="D92" s="671"/>
      <c r="E92" s="669" t="s">
        <v>424</v>
      </c>
      <c r="F92" s="612"/>
      <c r="G92" s="613">
        <f>SUMIFS(NewData!J:J,NewData!$C:$C,'I&amp;O Calc'!$D$89,NewData!$E:$E,'I&amp;O Calc'!$E$92)</f>
        <v>60</v>
      </c>
      <c r="H92" s="612"/>
      <c r="I92" s="612"/>
      <c r="J92" s="612"/>
      <c r="K92" s="612"/>
      <c r="L92" s="613">
        <f t="shared" si="38"/>
        <v>0</v>
      </c>
      <c r="M92" s="614">
        <f t="shared" si="39"/>
        <v>60</v>
      </c>
      <c r="N92" s="615">
        <f t="shared" si="40"/>
        <v>4.7530000000000001</v>
      </c>
      <c r="O92" s="620">
        <f t="shared" si="41"/>
        <v>2762971.42</v>
      </c>
      <c r="P92" s="623" t="s">
        <v>315</v>
      </c>
      <c r="Q92" s="623">
        <v>1260000</v>
      </c>
      <c r="R92" s="570" t="s">
        <v>316</v>
      </c>
      <c r="S92" s="620">
        <f t="shared" si="42"/>
        <v>4022971.42</v>
      </c>
      <c r="T92" s="617"/>
      <c r="U92" s="617"/>
      <c r="V92" s="619"/>
    </row>
    <row r="93" spans="1:22" ht="18" customHeight="1">
      <c r="A93" s="756" t="s">
        <v>425</v>
      </c>
      <c r="B93" s="610" t="s">
        <v>312</v>
      </c>
      <c r="C93" s="610"/>
      <c r="D93" s="671"/>
      <c r="E93" s="669" t="s">
        <v>426</v>
      </c>
      <c r="F93" s="612"/>
      <c r="G93" s="613">
        <f>SUMIFS(NewData!J:J,NewData!$C:$C,'I&amp;O Calc'!$D$89,NewData!$E:$E,'I&amp;O Calc'!$E$93)</f>
        <v>66</v>
      </c>
      <c r="H93" s="612"/>
      <c r="I93" s="612"/>
      <c r="J93" s="612"/>
      <c r="K93" s="612"/>
      <c r="L93" s="613">
        <f t="shared" si="38"/>
        <v>0</v>
      </c>
      <c r="M93" s="614">
        <f t="shared" si="39"/>
        <v>66</v>
      </c>
      <c r="N93" s="615">
        <f t="shared" si="40"/>
        <v>4.7530000000000001</v>
      </c>
      <c r="O93" s="620">
        <f t="shared" si="41"/>
        <v>3039268.56</v>
      </c>
      <c r="P93" s="623" t="s">
        <v>315</v>
      </c>
      <c r="Q93" s="623">
        <f t="shared" si="43"/>
        <v>1326600</v>
      </c>
      <c r="R93" s="570" t="s">
        <v>316</v>
      </c>
      <c r="S93" s="620">
        <f t="shared" si="42"/>
        <v>4365868.5600000005</v>
      </c>
      <c r="T93" s="617"/>
      <c r="U93" s="617"/>
      <c r="V93" s="619"/>
    </row>
    <row r="94" spans="1:22" ht="18" customHeight="1">
      <c r="A94" s="656" t="s">
        <v>427</v>
      </c>
      <c r="B94" s="610" t="s">
        <v>312</v>
      </c>
      <c r="C94" s="610"/>
      <c r="D94" s="671"/>
      <c r="E94" s="669" t="s">
        <v>428</v>
      </c>
      <c r="F94" s="612"/>
      <c r="G94" s="613">
        <f>SUMIFS(NewData!J:J,NewData!$C:$C,'I&amp;O Calc'!$D$89,NewData!$E:$E,'I&amp;O Calc'!$E$94)</f>
        <v>20</v>
      </c>
      <c r="H94" s="612"/>
      <c r="I94" s="612"/>
      <c r="J94" s="612"/>
      <c r="K94" s="612"/>
      <c r="L94" s="613">
        <f t="shared" si="38"/>
        <v>0</v>
      </c>
      <c r="M94" s="614">
        <f t="shared" si="39"/>
        <v>20</v>
      </c>
      <c r="N94" s="615">
        <f t="shared" si="40"/>
        <v>4.7530000000000001</v>
      </c>
      <c r="O94" s="620">
        <f t="shared" si="41"/>
        <v>920990.47</v>
      </c>
      <c r="P94" s="623" t="s">
        <v>315</v>
      </c>
      <c r="Q94" s="623">
        <v>540000</v>
      </c>
      <c r="R94" s="570" t="s">
        <v>316</v>
      </c>
      <c r="S94" s="620">
        <f>Q94+O94</f>
        <v>1460990.47</v>
      </c>
      <c r="T94" s="617"/>
      <c r="U94" s="617"/>
      <c r="V94" s="619"/>
    </row>
    <row r="95" spans="1:22" ht="18" customHeight="1">
      <c r="A95" s="757" t="s">
        <v>429</v>
      </c>
      <c r="B95" s="610"/>
      <c r="C95" s="610" t="s">
        <v>313</v>
      </c>
      <c r="D95" s="671"/>
      <c r="E95" s="671"/>
      <c r="F95" s="612"/>
      <c r="G95" s="672">
        <f>SUM(G89:G94)</f>
        <v>730</v>
      </c>
      <c r="H95" s="612"/>
      <c r="I95" s="612"/>
      <c r="J95" s="612"/>
      <c r="K95" s="612"/>
      <c r="L95" s="613">
        <f>SUM(L89:L94)</f>
        <v>0</v>
      </c>
      <c r="M95" s="673">
        <f>SUM(M89:M94)</f>
        <v>730</v>
      </c>
      <c r="N95" s="615"/>
      <c r="O95" s="618">
        <f>SUM(O89:O94)</f>
        <v>33616152.230000004</v>
      </c>
      <c r="P95" s="623"/>
      <c r="Q95" s="621">
        <f>SUM(Q89:Q94)</f>
        <v>5030250</v>
      </c>
      <c r="R95" s="570"/>
      <c r="S95" s="618">
        <f>SUM(S89:S94)</f>
        <v>38646402.230000004</v>
      </c>
      <c r="T95" s="686">
        <f>ROUND($S95,0)</f>
        <v>38646402</v>
      </c>
      <c r="U95" s="686">
        <f>ROUND($S95,0)</f>
        <v>38646402</v>
      </c>
      <c r="V95" s="619">
        <f t="shared" si="34"/>
        <v>77292804</v>
      </c>
    </row>
    <row r="96" spans="1:22" ht="18" customHeight="1">
      <c r="A96" s="758"/>
      <c r="B96" s="698"/>
      <c r="C96" s="698"/>
      <c r="D96" s="759"/>
      <c r="E96" s="759"/>
      <c r="F96" s="712"/>
      <c r="G96" s="712"/>
      <c r="H96" s="712"/>
      <c r="I96" s="712"/>
      <c r="J96" s="638"/>
      <c r="K96" s="638"/>
      <c r="L96" s="638"/>
      <c r="O96" s="682"/>
      <c r="P96" s="682"/>
      <c r="Q96" s="682"/>
      <c r="S96" s="682"/>
      <c r="T96" s="682"/>
      <c r="U96" s="682"/>
      <c r="V96" s="619"/>
    </row>
    <row r="97" spans="1:22" ht="18" customHeight="1">
      <c r="A97" s="656" t="s">
        <v>430</v>
      </c>
      <c r="B97" s="610" t="s">
        <v>342</v>
      </c>
      <c r="C97" s="610" t="s">
        <v>343</v>
      </c>
      <c r="D97" s="643" t="s">
        <v>431</v>
      </c>
      <c r="E97" s="760" t="s">
        <v>420</v>
      </c>
      <c r="F97" s="612"/>
      <c r="G97" s="613">
        <f>SUMIFS(NewData!J:J,NewData!$C:$C,'I&amp;O Calc'!$D$97,NewData!$E:$E,'I&amp;O Calc'!$E$97)</f>
        <v>415</v>
      </c>
      <c r="H97" s="613">
        <f>VLOOKUP($D$97,collegecode,9,FALSE)</f>
        <v>98</v>
      </c>
      <c r="I97" s="612"/>
      <c r="J97" s="612"/>
      <c r="K97" s="612"/>
      <c r="L97" s="613">
        <f>J97-K97</f>
        <v>0</v>
      </c>
      <c r="M97" s="614">
        <f>ROUND(G97+H97+(F97/F$6)+(I97/I$6)+(L97/L$6),2)</f>
        <v>513</v>
      </c>
      <c r="N97" s="761">
        <f>VLOOKUP($B97,weights,2,FALSE)</f>
        <v>4.601</v>
      </c>
      <c r="O97" s="616">
        <f>ROUND(M97*N97*$O$6,2)</f>
        <v>22867933.77</v>
      </c>
      <c r="P97" s="623" t="s">
        <v>315</v>
      </c>
      <c r="Q97" s="617">
        <v>0</v>
      </c>
      <c r="R97" s="570" t="s">
        <v>316</v>
      </c>
      <c r="S97" s="714">
        <f>Q97+O97</f>
        <v>22867933.77</v>
      </c>
      <c r="T97" s="686">
        <f>ROUND($S97,0)</f>
        <v>22867934</v>
      </c>
      <c r="U97" s="686">
        <f>ROUND($S97,0)</f>
        <v>22867934</v>
      </c>
      <c r="V97" s="619">
        <f t="shared" si="34"/>
        <v>45735868</v>
      </c>
    </row>
    <row r="98" spans="1:22" ht="18" customHeight="1">
      <c r="A98" s="657"/>
      <c r="B98" s="658"/>
      <c r="C98" s="658"/>
      <c r="D98" s="762"/>
      <c r="E98" s="763"/>
      <c r="F98" s="660"/>
      <c r="G98" s="660"/>
      <c r="H98" s="660"/>
      <c r="I98" s="660"/>
      <c r="J98" s="660"/>
      <c r="K98" s="660"/>
      <c r="L98" s="660"/>
      <c r="M98" s="661"/>
      <c r="N98" s="662"/>
      <c r="O98" s="764"/>
      <c r="P98" s="765"/>
      <c r="Q98" s="766"/>
      <c r="R98" s="666"/>
      <c r="S98" s="764"/>
      <c r="T98" s="766"/>
      <c r="U98" s="766"/>
      <c r="V98" s="619"/>
    </row>
    <row r="99" spans="1:22" ht="18" customHeight="1">
      <c r="A99" s="756" t="s">
        <v>432</v>
      </c>
      <c r="B99" s="610" t="s">
        <v>317</v>
      </c>
      <c r="C99" s="610"/>
      <c r="D99" s="611" t="s">
        <v>433</v>
      </c>
      <c r="E99" s="671"/>
      <c r="F99" s="613">
        <f>VLOOKUP($D$99,collegecode,5,FALSE)</f>
        <v>169</v>
      </c>
      <c r="G99" s="612"/>
      <c r="H99" s="612"/>
      <c r="I99" s="613">
        <f>VLOOKUP($D$99,collegecode,6,FALSE)</f>
        <v>1355</v>
      </c>
      <c r="J99" s="613">
        <f>VLOOKUP($D$99,collegecode,7,FALSE)</f>
        <v>795</v>
      </c>
      <c r="K99" s="613">
        <f>VLOOKUP($D$99,collegecode,11,FALSE)</f>
        <v>24</v>
      </c>
      <c r="L99" s="613">
        <f>J99-K99</f>
        <v>771</v>
      </c>
      <c r="M99" s="614">
        <f>ROUND(G99+H99+(F99/F$6)+(I99/I$6)+(L99/L$6),2)</f>
        <v>104.93</v>
      </c>
      <c r="N99" s="615">
        <f t="shared" ref="N99:N104" si="44">VLOOKUP($B99,weights,2,FALSE)</f>
        <v>1.018</v>
      </c>
      <c r="O99" s="616">
        <f>ROUND(M99*N99*$O$6,2)</f>
        <v>1034915.23</v>
      </c>
      <c r="P99" s="623" t="s">
        <v>315</v>
      </c>
      <c r="Q99" s="617"/>
      <c r="R99" s="570" t="s">
        <v>316</v>
      </c>
      <c r="S99" s="616">
        <f>Q99+O99</f>
        <v>1034915.23</v>
      </c>
      <c r="T99" s="617"/>
      <c r="U99" s="617"/>
      <c r="V99" s="619"/>
    </row>
    <row r="100" spans="1:22" ht="18" customHeight="1">
      <c r="A100" s="756" t="s">
        <v>434</v>
      </c>
      <c r="B100" s="610" t="s">
        <v>317</v>
      </c>
      <c r="C100" s="610"/>
      <c r="D100" s="671"/>
      <c r="E100" s="669" t="s">
        <v>420</v>
      </c>
      <c r="F100" s="612"/>
      <c r="G100" s="612"/>
      <c r="H100" s="612"/>
      <c r="I100" s="613">
        <f>SUMIFS(NewData!H:H,NewData!$C:$C,$D$99,NewData!$E:$E,$E$100)</f>
        <v>37</v>
      </c>
      <c r="J100" s="613">
        <f>SUMIFS(NewData!I:I,NewData!$C:$C,$D$99,NewData!$E:$E,$E$100)</f>
        <v>26</v>
      </c>
      <c r="K100" s="613">
        <f>SUMIFS(NewData!M:M,NewData!$C:$C,$D$99,NewData!$E:$E,$E$100)</f>
        <v>0</v>
      </c>
      <c r="L100" s="613">
        <f>J100-K100</f>
        <v>26</v>
      </c>
      <c r="M100" s="614">
        <f t="shared" ref="M100:M103" si="45">ROUND(G100+H100+(F100/F$6)+(I100/I$6)+(L100/L$6),2)</f>
        <v>2.99</v>
      </c>
      <c r="N100" s="615">
        <f t="shared" si="44"/>
        <v>1.018</v>
      </c>
      <c r="O100" s="620">
        <f>ROUND(M100*N100*$O$6,2)</f>
        <v>29490.1</v>
      </c>
      <c r="P100" s="623" t="s">
        <v>315</v>
      </c>
      <c r="Q100" s="623">
        <v>390508</v>
      </c>
      <c r="R100" s="570" t="s">
        <v>316</v>
      </c>
      <c r="S100" s="620">
        <f>Q100+O100</f>
        <v>419998.1</v>
      </c>
      <c r="T100" s="617"/>
      <c r="U100" s="617"/>
      <c r="V100" s="619"/>
    </row>
    <row r="101" spans="1:22" ht="18" customHeight="1">
      <c r="A101" s="756" t="s">
        <v>435</v>
      </c>
      <c r="B101" s="610" t="s">
        <v>317</v>
      </c>
      <c r="C101" s="610"/>
      <c r="D101" s="611" t="s">
        <v>436</v>
      </c>
      <c r="E101" s="669" t="s">
        <v>420</v>
      </c>
      <c r="F101" s="612"/>
      <c r="G101" s="612"/>
      <c r="H101" s="612"/>
      <c r="I101" s="613">
        <f>SUMIFS(NewData!H:H,NewData!$C:$C,$D$101,NewData!$E:$E,$E$101)</f>
        <v>136</v>
      </c>
      <c r="J101" s="613">
        <f>SUMIFS(NewData!I:I,NewData!$C:$C,$D$101,NewData!$E:$E,$E$101)</f>
        <v>239</v>
      </c>
      <c r="K101" s="613">
        <f>SUMIFS(NewData!M:M,NewData!$C:$C,$D$101,NewData!$E:$E,$E$101)</f>
        <v>0</v>
      </c>
      <c r="L101" s="613">
        <f>J101-K101</f>
        <v>239</v>
      </c>
      <c r="M101" s="614">
        <f t="shared" si="45"/>
        <v>18.940000000000001</v>
      </c>
      <c r="N101" s="615">
        <f t="shared" si="44"/>
        <v>1.018</v>
      </c>
      <c r="O101" s="620">
        <f>ROUND(M101*N101*$O$6,2)</f>
        <v>186803.53</v>
      </c>
      <c r="P101" s="623" t="s">
        <v>315</v>
      </c>
      <c r="Q101" s="623"/>
      <c r="R101" s="570" t="s">
        <v>316</v>
      </c>
      <c r="S101" s="620">
        <f t="shared" ref="S101:S102" si="46">Q101+O101</f>
        <v>186803.53</v>
      </c>
      <c r="T101" s="617"/>
      <c r="U101" s="617"/>
      <c r="V101" s="619"/>
    </row>
    <row r="102" spans="1:22" ht="18" customHeight="1">
      <c r="A102" s="656" t="s">
        <v>437</v>
      </c>
      <c r="B102" s="610" t="s">
        <v>317</v>
      </c>
      <c r="C102" s="610"/>
      <c r="D102" s="611" t="s">
        <v>433</v>
      </c>
      <c r="E102" s="669" t="s">
        <v>422</v>
      </c>
      <c r="F102" s="612"/>
      <c r="G102" s="612"/>
      <c r="H102" s="612"/>
      <c r="I102" s="613">
        <f>SUMIFS(NewData!H:H,NewData!$C:$C,$D$102,NewData!$E:$E,$E$102)</f>
        <v>274</v>
      </c>
      <c r="J102" s="613">
        <f>SUMIFS(NewData!I:I,NewData!$C:$C,$D$102,NewData!$E:$E,$E$102)</f>
        <v>692</v>
      </c>
      <c r="K102" s="613">
        <f>SUMIFS(NewData!M:M,NewData!$C:$C,$D$102,NewData!$E:$E,$E$102)</f>
        <v>21</v>
      </c>
      <c r="L102" s="613">
        <f>J102-K102</f>
        <v>671</v>
      </c>
      <c r="M102" s="614">
        <f t="shared" si="45"/>
        <v>48.69</v>
      </c>
      <c r="N102" s="615">
        <f t="shared" si="44"/>
        <v>1.018</v>
      </c>
      <c r="O102" s="620">
        <f>ROUND(M102*N102*$O$6,2)</f>
        <v>480225.13</v>
      </c>
      <c r="P102" s="623" t="s">
        <v>315</v>
      </c>
      <c r="Q102" s="623">
        <f t="shared" ref="Q102:Q103" si="47">ROUND(IF(M102&lt;ClassSize,(1-(M102/200))*(VLOOKUP($B102,weights,3,FALSE))*M102,0),0)</f>
        <v>736728</v>
      </c>
      <c r="R102" s="570" t="s">
        <v>316</v>
      </c>
      <c r="S102" s="620">
        <f t="shared" si="46"/>
        <v>1216953.1299999999</v>
      </c>
      <c r="T102" s="617"/>
      <c r="U102" s="617"/>
      <c r="V102" s="619"/>
    </row>
    <row r="103" spans="1:22" ht="18" customHeight="1">
      <c r="A103" s="656" t="s">
        <v>438</v>
      </c>
      <c r="B103" s="610" t="s">
        <v>317</v>
      </c>
      <c r="C103" s="610"/>
      <c r="D103" s="611" t="s">
        <v>433</v>
      </c>
      <c r="E103" s="713" t="s">
        <v>426</v>
      </c>
      <c r="F103" s="612"/>
      <c r="G103" s="612"/>
      <c r="H103" s="612"/>
      <c r="I103" s="613">
        <f>SUMIFS(NewData!H:H,NewData!$C:$C,$D$103,NewData!$E:$E,$E$103)</f>
        <v>0</v>
      </c>
      <c r="J103" s="613">
        <f>SUMIFS(NewData!I:I,NewData!$C:$C,$D$103,NewData!$E:$E,$E$103)</f>
        <v>36</v>
      </c>
      <c r="K103" s="613">
        <f>SUMIFS(NewData!M:M,NewData!$C:$C,$D$103,NewData!$E:$E,$E$103)</f>
        <v>0</v>
      </c>
      <c r="L103" s="613">
        <f t="shared" ref="L103" si="48">J103-K103</f>
        <v>36</v>
      </c>
      <c r="M103" s="614">
        <f t="shared" si="45"/>
        <v>2</v>
      </c>
      <c r="N103" s="615">
        <f>VLOOKUP($B103,weights,2,FALSE)</f>
        <v>1.018</v>
      </c>
      <c r="O103" s="620">
        <f t="shared" ref="O103" si="49">ROUND(M103*N103*$O$6,2)</f>
        <v>19725.82</v>
      </c>
      <c r="P103" s="623" t="s">
        <v>315</v>
      </c>
      <c r="Q103" s="623">
        <f t="shared" si="47"/>
        <v>39600</v>
      </c>
      <c r="R103" s="570" t="s">
        <v>316</v>
      </c>
      <c r="S103" s="620">
        <f>Q103+O103</f>
        <v>59325.82</v>
      </c>
      <c r="T103" s="617"/>
      <c r="U103" s="617"/>
      <c r="V103" s="619"/>
    </row>
    <row r="104" spans="1:22" ht="18" customHeight="1">
      <c r="A104" s="656" t="s">
        <v>439</v>
      </c>
      <c r="B104" s="610" t="s">
        <v>317</v>
      </c>
      <c r="C104" s="610"/>
      <c r="D104" s="611" t="s">
        <v>433</v>
      </c>
      <c r="E104" s="760" t="s">
        <v>428</v>
      </c>
      <c r="F104" s="612"/>
      <c r="G104" s="612"/>
      <c r="H104" s="612"/>
      <c r="I104" s="613">
        <f>SUMIFS(NewData!H:H,NewData!$C:$C,$D$104,NewData!$E:$E,$E$104)</f>
        <v>0</v>
      </c>
      <c r="J104" s="613">
        <f>SUMIFS(NewData!I:I,NewData!$C:$C,$D$104,NewData!$E:$E,$E$104)</f>
        <v>0</v>
      </c>
      <c r="K104" s="613">
        <f>SUMIFS(NewData!M:M,NewData!$C:$C,$D$104,NewData!$E:$E,$E$104)</f>
        <v>0</v>
      </c>
      <c r="L104" s="613">
        <f>J104-K104</f>
        <v>0</v>
      </c>
      <c r="M104" s="614">
        <f>ROUND(G104+H104+(F104/F$6)+(I104/I$6)+(L104/L$6),2)</f>
        <v>0</v>
      </c>
      <c r="N104" s="615">
        <f t="shared" si="44"/>
        <v>1.018</v>
      </c>
      <c r="O104" s="620">
        <f>ROUND(M104*N104*$O$6,2)</f>
        <v>0</v>
      </c>
      <c r="P104" s="623" t="s">
        <v>315</v>
      </c>
      <c r="Q104" s="623">
        <v>0</v>
      </c>
      <c r="R104" s="570" t="s">
        <v>316</v>
      </c>
      <c r="S104" s="620">
        <f>Q104+O104</f>
        <v>0</v>
      </c>
      <c r="T104" s="617"/>
      <c r="U104" s="617"/>
      <c r="V104" s="619"/>
    </row>
    <row r="105" spans="1:22" ht="18" customHeight="1">
      <c r="A105" s="670" t="s">
        <v>350</v>
      </c>
      <c r="B105" s="610"/>
      <c r="C105" s="610" t="s">
        <v>318</v>
      </c>
      <c r="D105" s="671"/>
      <c r="E105" s="671"/>
      <c r="F105" s="672">
        <f>SUM(F99:F104)</f>
        <v>169</v>
      </c>
      <c r="G105" s="672">
        <f t="shared" ref="G105:M105" si="50">SUM(G99:G104)</f>
        <v>0</v>
      </c>
      <c r="H105" s="672">
        <f t="shared" si="50"/>
        <v>0</v>
      </c>
      <c r="I105" s="672">
        <f>SUM(I99:I104)</f>
        <v>1802</v>
      </c>
      <c r="J105" s="672">
        <f>SUM(J99:J104)</f>
        <v>1788</v>
      </c>
      <c r="K105" s="672">
        <f>SUM(K99:K104)</f>
        <v>45</v>
      </c>
      <c r="L105" s="672">
        <f>SUM(L99:L104)</f>
        <v>1743</v>
      </c>
      <c r="M105" s="673">
        <f t="shared" si="50"/>
        <v>177.55</v>
      </c>
      <c r="N105" s="615"/>
      <c r="O105" s="618">
        <f>SUM(O99:O104)</f>
        <v>1751159.8100000003</v>
      </c>
      <c r="P105" s="623"/>
      <c r="Q105" s="767">
        <f>SUM(Q99:Q104)</f>
        <v>1166836</v>
      </c>
      <c r="R105" s="570"/>
      <c r="S105" s="618">
        <f>SUM(S99:S104)</f>
        <v>2917995.81</v>
      </c>
      <c r="T105" s="686">
        <f>ROUND($S105,0)</f>
        <v>2917996</v>
      </c>
      <c r="U105" s="686">
        <f>ROUND($S105,0)</f>
        <v>2917996</v>
      </c>
      <c r="V105" s="619">
        <f t="shared" si="34"/>
        <v>5835992</v>
      </c>
    </row>
    <row r="106" spans="1:22" ht="18" customHeight="1">
      <c r="F106" s="638"/>
      <c r="G106" s="638"/>
      <c r="H106" s="638"/>
      <c r="I106" s="638"/>
      <c r="J106" s="638"/>
      <c r="K106" s="638"/>
      <c r="L106" s="638"/>
      <c r="O106" s="682"/>
      <c r="P106" s="682"/>
      <c r="Q106" s="682"/>
      <c r="S106" s="682"/>
      <c r="T106" s="682"/>
      <c r="U106" s="682"/>
      <c r="V106" s="619"/>
    </row>
    <row r="107" spans="1:22" ht="18" customHeight="1">
      <c r="A107" s="610" t="s">
        <v>440</v>
      </c>
      <c r="B107" s="610" t="s">
        <v>320</v>
      </c>
      <c r="C107" s="610" t="s">
        <v>321</v>
      </c>
      <c r="D107" s="611" t="s">
        <v>441</v>
      </c>
      <c r="E107" s="669" t="s">
        <v>420</v>
      </c>
      <c r="F107" s="613">
        <f>SUMIFS(NewData!G:G,NewData!$C:$C,'I&amp;O Calc'!$D$107,NewData!$E:$E,'I&amp;O Calc'!E$107)</f>
        <v>1975</v>
      </c>
      <c r="G107" s="612"/>
      <c r="H107" s="612"/>
      <c r="I107" s="613">
        <f>SUMIFS(NewData!H:H,NewData!$C:$C,'I&amp;O Calc'!$D$107,NewData!$E:$E,'I&amp;O Calc'!E$107)</f>
        <v>0</v>
      </c>
      <c r="J107" s="612"/>
      <c r="K107" s="612"/>
      <c r="L107" s="613">
        <f>J107-K107</f>
        <v>0</v>
      </c>
      <c r="M107" s="614">
        <f>ROUND(G107+H107+(F107/F$6)+(I107/I$6)+(L107/L$6),2)</f>
        <v>65.83</v>
      </c>
      <c r="N107" s="615">
        <f>VLOOKUP($B107,weights,2,FALSE)</f>
        <v>1</v>
      </c>
      <c r="O107" s="618">
        <f>ROUND(M107*N107*$O$6,2)</f>
        <v>637795.11</v>
      </c>
      <c r="P107" s="623" t="s">
        <v>315</v>
      </c>
      <c r="Q107" s="617">
        <v>883241</v>
      </c>
      <c r="R107" s="570" t="s">
        <v>316</v>
      </c>
      <c r="S107" s="618">
        <f>Q107+O107</f>
        <v>1521036.1099999999</v>
      </c>
      <c r="T107" s="686">
        <f>ROUND($S107,0)</f>
        <v>1521036</v>
      </c>
      <c r="U107" s="686">
        <f>ROUND($S107,0)</f>
        <v>1521036</v>
      </c>
      <c r="V107" s="619">
        <f t="shared" si="34"/>
        <v>3042072</v>
      </c>
    </row>
    <row r="108" spans="1:22" ht="18" customHeight="1">
      <c r="A108" s="575"/>
      <c r="F108" s="638"/>
      <c r="G108" s="768"/>
      <c r="H108" s="768"/>
      <c r="I108" s="768"/>
      <c r="J108" s="768"/>
      <c r="K108" s="768"/>
      <c r="L108" s="638"/>
      <c r="O108" s="752"/>
      <c r="P108" s="682"/>
      <c r="Q108" s="682"/>
      <c r="S108" s="752"/>
      <c r="T108" s="769"/>
      <c r="U108" s="769"/>
      <c r="V108" s="619"/>
    </row>
    <row r="109" spans="1:22" ht="18" customHeight="1">
      <c r="A109" s="610" t="s">
        <v>442</v>
      </c>
      <c r="B109" s="610" t="s">
        <v>331</v>
      </c>
      <c r="C109" s="610"/>
      <c r="D109" s="611" t="s">
        <v>443</v>
      </c>
      <c r="E109" s="671"/>
      <c r="F109" s="613">
        <f>VLOOKUP($D$109,collegecode,5,FALSE)</f>
        <v>8286</v>
      </c>
      <c r="G109" s="612"/>
      <c r="H109" s="612"/>
      <c r="I109" s="613">
        <f>VLOOKUP($D$109,collegecode,6,FALSE)</f>
        <v>1655</v>
      </c>
      <c r="J109" s="613">
        <f>VLOOKUP($D$109,collegecode,7,FALSE)</f>
        <v>205</v>
      </c>
      <c r="K109" s="613">
        <f>VLOOKUP($D$109,collegecode,11,FALSE)</f>
        <v>0</v>
      </c>
      <c r="L109" s="613">
        <f>J109-K109</f>
        <v>205</v>
      </c>
      <c r="M109" s="614">
        <f>ROUND(G109+H109+(F109/F$6)+(I109/I$6)+(L109/L$6),2)</f>
        <v>356.55</v>
      </c>
      <c r="N109" s="615">
        <f>VLOOKUP($B109,weights,2,FALSE)</f>
        <v>1.1379999999999999</v>
      </c>
      <c r="O109" s="616">
        <f>ROUND(M109*N109*$O$6,2)</f>
        <v>3931153.75</v>
      </c>
      <c r="P109" s="623" t="s">
        <v>315</v>
      </c>
      <c r="Q109" s="621"/>
      <c r="R109" s="570" t="s">
        <v>316</v>
      </c>
      <c r="S109" s="616">
        <f>Q109+O109</f>
        <v>3931153.75</v>
      </c>
      <c r="T109" s="617"/>
      <c r="U109" s="617"/>
      <c r="V109" s="619"/>
    </row>
    <row r="110" spans="1:22" ht="18" customHeight="1">
      <c r="A110" s="610" t="s">
        <v>444</v>
      </c>
      <c r="B110" s="610" t="s">
        <v>331</v>
      </c>
      <c r="C110" s="610"/>
      <c r="D110" s="671"/>
      <c r="E110" s="669" t="s">
        <v>424</v>
      </c>
      <c r="F110" s="613">
        <f>SUMIFS(NewData!G:G,NewData!$C:$C,$D$109,NewData!$E:$E,$E$110)</f>
        <v>5288</v>
      </c>
      <c r="G110" s="612"/>
      <c r="H110" s="612"/>
      <c r="I110" s="613">
        <f>SUMIFS(NewData!H:H,NewData!$C:$C,$D$109,NewData!$E:$E,$E$110)</f>
        <v>0</v>
      </c>
      <c r="J110" s="613">
        <f>SUMIFS(NewData!I:I,NewData!$C:$C,$D$109,NewData!$E:$E,$E$110)</f>
        <v>0</v>
      </c>
      <c r="K110" s="613">
        <f>SUMIFS(NewData!M:M,NewData!$C:$C,$D$109,NewData!$E:$E,$E$110)</f>
        <v>0</v>
      </c>
      <c r="L110" s="613">
        <f>J110-K110</f>
        <v>0</v>
      </c>
      <c r="M110" s="614">
        <f>ROUND(G110+H110+(F110/F$6)+(I110/I$6)+(L110/L$6),2)</f>
        <v>176.27</v>
      </c>
      <c r="N110" s="615">
        <f>VLOOKUP($B110,weights,2,FALSE)</f>
        <v>1.1379999999999999</v>
      </c>
      <c r="O110" s="616">
        <f>ROUND(M110*N110*$O$6,2)</f>
        <v>1943470.68</v>
      </c>
      <c r="P110" s="623" t="s">
        <v>315</v>
      </c>
      <c r="Q110" s="623">
        <v>418289</v>
      </c>
      <c r="R110" s="570" t="s">
        <v>316</v>
      </c>
      <c r="S110" s="620">
        <f>Q110+O110</f>
        <v>2361759.6799999997</v>
      </c>
      <c r="T110" s="617"/>
      <c r="U110" s="617"/>
      <c r="V110" s="619"/>
    </row>
    <row r="111" spans="1:22" ht="18" customHeight="1">
      <c r="A111" s="610" t="s">
        <v>445</v>
      </c>
      <c r="B111" s="610" t="s">
        <v>331</v>
      </c>
      <c r="C111" s="610"/>
      <c r="D111" s="671"/>
      <c r="E111" s="669" t="s">
        <v>446</v>
      </c>
      <c r="F111" s="613">
        <f>SUMIFS(NewData!G:G,NewData!$C:$C,$D$109,NewData!$E:$E,$E$111)</f>
        <v>0</v>
      </c>
      <c r="G111" s="612"/>
      <c r="H111" s="612"/>
      <c r="I111" s="613">
        <f>SUMIFS(NewData!H:H,NewData!$C:$C,$D$109,NewData!$E:$E,$E$111)</f>
        <v>0</v>
      </c>
      <c r="J111" s="613">
        <f>SUMIFS(NewData!I:I,NewData!$C:$C,$D$109,NewData!$E:$E,$E$111)</f>
        <v>0</v>
      </c>
      <c r="K111" s="613">
        <f>SUMIFS(NewData!M:M,NewData!$C:$C,$D$109,NewData!$E:$E,$E$111)</f>
        <v>0</v>
      </c>
      <c r="L111" s="613">
        <f>J111-K111</f>
        <v>0</v>
      </c>
      <c r="M111" s="614">
        <f>ROUND(G111+H111+(F111/F$6)+(I111/I$6)+(L111/L$6),2)</f>
        <v>0</v>
      </c>
      <c r="N111" s="615">
        <f>VLOOKUP($B111,weights,2,FALSE)</f>
        <v>1.1379999999999999</v>
      </c>
      <c r="O111" s="616">
        <f>ROUND(M111*N111*$O$6,2)</f>
        <v>0</v>
      </c>
      <c r="P111" s="623" t="s">
        <v>315</v>
      </c>
      <c r="Q111" s="623">
        <v>0</v>
      </c>
      <c r="R111" s="570" t="s">
        <v>316</v>
      </c>
      <c r="S111" s="620">
        <f>Q111+O111</f>
        <v>0</v>
      </c>
      <c r="T111" s="617"/>
      <c r="U111" s="617"/>
      <c r="V111" s="619"/>
    </row>
    <row r="112" spans="1:22" ht="18" customHeight="1">
      <c r="A112" s="757" t="s">
        <v>447</v>
      </c>
      <c r="B112" s="610"/>
      <c r="C112" s="610" t="s">
        <v>332</v>
      </c>
      <c r="D112" s="671"/>
      <c r="E112" s="671"/>
      <c r="F112" s="672">
        <f>SUM(F109:F111)</f>
        <v>13574</v>
      </c>
      <c r="G112" s="612"/>
      <c r="H112" s="612"/>
      <c r="I112" s="672">
        <f>SUM(I109:I111)</f>
        <v>1655</v>
      </c>
      <c r="J112" s="672">
        <f t="shared" ref="J112:K112" si="51">SUM(J109:J111)</f>
        <v>205</v>
      </c>
      <c r="K112" s="672">
        <f t="shared" si="51"/>
        <v>0</v>
      </c>
      <c r="L112" s="672">
        <f>SUM(L109:L111)</f>
        <v>205</v>
      </c>
      <c r="M112" s="673">
        <f>SUM(M109:M111)</f>
        <v>532.82000000000005</v>
      </c>
      <c r="N112" s="615"/>
      <c r="O112" s="618">
        <f>SUM(O109:O111)</f>
        <v>5874624.4299999997</v>
      </c>
      <c r="P112" s="623" t="s">
        <v>315</v>
      </c>
      <c r="Q112" s="767">
        <f>SUM(Q109:Q111)</f>
        <v>418289</v>
      </c>
      <c r="R112" s="570" t="s">
        <v>316</v>
      </c>
      <c r="S112" s="618">
        <f>SUM(S109:S111)</f>
        <v>6292913.4299999997</v>
      </c>
      <c r="T112" s="686">
        <f>ROUND($S112,0)</f>
        <v>6292913</v>
      </c>
      <c r="U112" s="686">
        <f>ROUND($S112,0)</f>
        <v>6292913</v>
      </c>
      <c r="V112" s="619">
        <f t="shared" si="34"/>
        <v>12585826</v>
      </c>
    </row>
    <row r="113" spans="1:22" ht="18" customHeight="1">
      <c r="F113" s="638"/>
      <c r="G113" s="638"/>
      <c r="H113" s="638"/>
      <c r="I113" s="638"/>
      <c r="J113" s="638"/>
      <c r="K113" s="638"/>
      <c r="L113" s="638"/>
      <c r="O113" s="682"/>
      <c r="P113" s="682"/>
      <c r="Q113" s="682"/>
      <c r="S113" s="682"/>
      <c r="T113" s="682"/>
      <c r="U113" s="682"/>
      <c r="V113" s="619"/>
    </row>
    <row r="114" spans="1:22" ht="18" customHeight="1">
      <c r="A114" s="683" t="s">
        <v>448</v>
      </c>
      <c r="B114" s="610" t="s">
        <v>449</v>
      </c>
      <c r="C114" s="610"/>
      <c r="D114" s="611" t="s">
        <v>450</v>
      </c>
      <c r="E114" s="671"/>
      <c r="F114" s="612"/>
      <c r="G114" s="612"/>
      <c r="H114" s="612"/>
      <c r="I114" s="613">
        <f>VLOOKUP(D114,collegecode,6,FALSE)</f>
        <v>6969</v>
      </c>
      <c r="J114" s="613">
        <f>VLOOKUP(D114,collegecode,7,FALSE)</f>
        <v>0</v>
      </c>
      <c r="K114" s="612"/>
      <c r="L114" s="613">
        <f>J114-K114</f>
        <v>0</v>
      </c>
      <c r="M114" s="614">
        <f>ROUND(G114+H114+(F114/F$6)+(I114/I$6)+(L114/L$6),2)</f>
        <v>290.38</v>
      </c>
      <c r="N114" s="615">
        <f>VLOOKUP($B114,weights,2,FALSE)</f>
        <v>1.67</v>
      </c>
      <c r="O114" s="618">
        <f>ROUND(M114*N114*$O$6,2)</f>
        <v>4698297.3499999996</v>
      </c>
      <c r="P114" s="623"/>
      <c r="Q114" s="617"/>
      <c r="R114" s="570" t="s">
        <v>316</v>
      </c>
      <c r="S114" s="616">
        <f>Q114+O114</f>
        <v>4698297.3499999996</v>
      </c>
      <c r="T114" s="617"/>
      <c r="U114" s="617"/>
      <c r="V114" s="619"/>
    </row>
    <row r="115" spans="1:22" ht="18" customHeight="1">
      <c r="A115" s="770" t="s">
        <v>451</v>
      </c>
      <c r="B115" s="771" t="s">
        <v>449</v>
      </c>
      <c r="C115" s="771"/>
      <c r="D115" s="772"/>
      <c r="E115" s="773" t="s">
        <v>452</v>
      </c>
      <c r="F115" s="774"/>
      <c r="G115" s="774"/>
      <c r="H115" s="774"/>
      <c r="I115" s="613">
        <f>SUMIFS(NewData!H:H,NewData!$C:$C,$D$114,NewData!$E:$E,$E$115)</f>
        <v>10102</v>
      </c>
      <c r="J115" s="613">
        <f>SUMIFS(NewData!I:I,NewData!$C:$C,$D$114,NewData!$E:$E,$E$115)</f>
        <v>0</v>
      </c>
      <c r="K115" s="774"/>
      <c r="L115" s="775">
        <f>J115-K115</f>
        <v>0</v>
      </c>
      <c r="M115" s="625">
        <f>ROUND(G115+H115+(F115/F$6)+(I115/I$6)+(L115/L$6),2)</f>
        <v>420.92</v>
      </c>
      <c r="N115" s="776">
        <f>VLOOKUP($B115,weights,2,FALSE)</f>
        <v>1.67</v>
      </c>
      <c r="O115" s="777">
        <f>ROUND(M115*N115*$O$6,2)</f>
        <v>6810411.5999999996</v>
      </c>
      <c r="P115" s="676"/>
      <c r="Q115" s="676">
        <v>0</v>
      </c>
      <c r="R115" s="778" t="s">
        <v>316</v>
      </c>
      <c r="S115" s="779">
        <f>Q115+O115</f>
        <v>6810411.5999999996</v>
      </c>
      <c r="T115" s="617"/>
      <c r="U115" s="617"/>
      <c r="V115" s="619"/>
    </row>
    <row r="116" spans="1:22" ht="18" customHeight="1">
      <c r="A116" s="691" t="s">
        <v>453</v>
      </c>
      <c r="B116" s="610"/>
      <c r="C116" s="610" t="s">
        <v>454</v>
      </c>
      <c r="D116" s="671"/>
      <c r="E116" s="671"/>
      <c r="F116" s="612"/>
      <c r="G116" s="612"/>
      <c r="H116" s="612"/>
      <c r="I116" s="672">
        <f>SUM(I114:I115)</f>
        <v>17071</v>
      </c>
      <c r="J116" s="672">
        <f>SUM(J114:J115)</f>
        <v>0</v>
      </c>
      <c r="K116" s="612"/>
      <c r="L116" s="613">
        <f>J116-K116</f>
        <v>0</v>
      </c>
      <c r="M116" s="673">
        <f>SUM(M114:M115)</f>
        <v>711.3</v>
      </c>
      <c r="N116" s="615"/>
      <c r="O116" s="618">
        <f>SUM(O114:O115)</f>
        <v>11508708.949999999</v>
      </c>
      <c r="P116" s="623" t="s">
        <v>315</v>
      </c>
      <c r="Q116" s="617">
        <f>SUM(Q114:Q115)</f>
        <v>0</v>
      </c>
      <c r="R116" s="780" t="s">
        <v>316</v>
      </c>
      <c r="S116" s="618">
        <f>SUM(S114:S115)</f>
        <v>11508708.949999999</v>
      </c>
      <c r="T116" s="686">
        <f>ROUND($S116,0)</f>
        <v>11508709</v>
      </c>
      <c r="U116" s="686">
        <f>ROUND($S116,0)</f>
        <v>11508709</v>
      </c>
      <c r="V116" s="619">
        <f t="shared" si="34"/>
        <v>23017418</v>
      </c>
    </row>
    <row r="117" spans="1:22" ht="18" customHeight="1">
      <c r="F117" s="638"/>
      <c r="G117" s="638"/>
      <c r="H117" s="638"/>
      <c r="I117" s="638"/>
      <c r="J117" s="638"/>
      <c r="K117" s="638"/>
      <c r="L117" s="638"/>
      <c r="O117" s="682"/>
      <c r="P117" s="682"/>
      <c r="Q117" s="682"/>
      <c r="S117" s="682"/>
      <c r="T117" s="682"/>
      <c r="U117" s="682"/>
      <c r="V117" s="619"/>
    </row>
    <row r="118" spans="1:22" ht="18" customHeight="1">
      <c r="A118" s="781" t="s">
        <v>455</v>
      </c>
      <c r="B118" s="610" t="s">
        <v>335</v>
      </c>
      <c r="C118" s="610"/>
      <c r="D118" s="611" t="s">
        <v>456</v>
      </c>
      <c r="E118" s="671"/>
      <c r="F118" s="613">
        <f>VLOOKUP($D$118,collegecode,5,FALSE)</f>
        <v>15042</v>
      </c>
      <c r="G118" s="612"/>
      <c r="H118" s="612"/>
      <c r="I118" s="613">
        <f>VLOOKUP($D$118,collegecode,6,FALSE)</f>
        <v>8232</v>
      </c>
      <c r="J118" s="613">
        <f>VLOOKUP($D$118,collegecode,7,FALSE)</f>
        <v>1103</v>
      </c>
      <c r="K118" s="613">
        <f>VLOOKUP($D$118,collegecode,11,FALSE)</f>
        <v>1</v>
      </c>
      <c r="L118" s="613">
        <f>J118-K118</f>
        <v>1102</v>
      </c>
      <c r="M118" s="614">
        <f>ROUND(G118+H118+(F118/F$6)+(I118/I$6)+(L118/L$6),2)</f>
        <v>905.62</v>
      </c>
      <c r="N118" s="615">
        <f t="shared" ref="N118:N125" si="52">VLOOKUP($B118,weights,2,FALSE)</f>
        <v>1.7210000000000001</v>
      </c>
      <c r="O118" s="616">
        <f>ROUND(M118*N118*$O$6,2)</f>
        <v>15100252.26</v>
      </c>
      <c r="P118" s="623" t="s">
        <v>315</v>
      </c>
      <c r="Q118" s="617"/>
      <c r="R118" s="570" t="s">
        <v>316</v>
      </c>
      <c r="S118" s="616">
        <f>Q118+O118</f>
        <v>15100252.26</v>
      </c>
      <c r="T118" s="617"/>
      <c r="U118" s="617"/>
      <c r="V118" s="619"/>
    </row>
    <row r="119" spans="1:22" ht="18" customHeight="1">
      <c r="A119" s="781" t="s">
        <v>457</v>
      </c>
      <c r="B119" s="610" t="s">
        <v>335</v>
      </c>
      <c r="C119" s="610"/>
      <c r="D119" s="671"/>
      <c r="E119" s="669" t="s">
        <v>420</v>
      </c>
      <c r="F119" s="613">
        <f>SUMIFS(NewData!G:G,NewData!$C:$C,$D$118,NewData!$E:$E,$E$119)</f>
        <v>0</v>
      </c>
      <c r="G119" s="613">
        <f>SUMIFS(NewData!J:J,NewData!$C:$C,D118,NewData!$E:$E,E119)</f>
        <v>0</v>
      </c>
      <c r="H119" s="613">
        <f>SUMIFS(NewData!K:K,NewData!$C:$C,$D$118,NewData!$E:$E,E119)</f>
        <v>0</v>
      </c>
      <c r="I119" s="613">
        <f>SUMIFS(NewData!H:H,NewData!$C:$C,D118,NewData!$E:$E,E119)</f>
        <v>0</v>
      </c>
      <c r="J119" s="613">
        <f>SUMIFS(NewData!I:I,NewData!$C:$C,$D$118,NewData!$E:$E,$E$119)</f>
        <v>0</v>
      </c>
      <c r="K119" s="613">
        <f>SUMIFS(NewData!M:M,NewData!$C:$C,D118,NewData!$E:$E,E119)</f>
        <v>0</v>
      </c>
      <c r="L119" s="613">
        <f>J119-K119</f>
        <v>0</v>
      </c>
      <c r="M119" s="614">
        <f t="shared" ref="M119:M125" si="53">ROUND(G119+H119+(F119/F$6)+(I119/I$6)+(L119/L$6),2)</f>
        <v>0</v>
      </c>
      <c r="N119" s="615">
        <f t="shared" si="52"/>
        <v>1.7210000000000001</v>
      </c>
      <c r="O119" s="620">
        <f>ROUND(M119*N119*$O$6,2)</f>
        <v>0</v>
      </c>
      <c r="P119" s="623" t="s">
        <v>315</v>
      </c>
      <c r="Q119" s="623">
        <f t="shared" ref="Q119" si="54">ROUND(IF(M119&lt;ClassSize,(1-(M119/200))*(VLOOKUP($B119,weights,3,FALSE))*M119,0),0)</f>
        <v>0</v>
      </c>
      <c r="R119" s="570" t="s">
        <v>316</v>
      </c>
      <c r="S119" s="620">
        <f>Q119+O119</f>
        <v>0</v>
      </c>
      <c r="T119" s="617"/>
      <c r="U119" s="617"/>
      <c r="V119" s="619"/>
    </row>
    <row r="120" spans="1:22" ht="18" customHeight="1">
      <c r="A120" s="781" t="s">
        <v>458</v>
      </c>
      <c r="B120" s="610" t="s">
        <v>335</v>
      </c>
      <c r="C120" s="610"/>
      <c r="D120" s="671"/>
      <c r="E120" s="669" t="s">
        <v>459</v>
      </c>
      <c r="F120" s="613">
        <f>SUMIFS(NewData!G:G,NewData!$C:$C,$D$118,NewData!$E:$E,$E$120)</f>
        <v>0</v>
      </c>
      <c r="G120" s="613">
        <f>SUMIFS(NewData!J:J,NewData!$C:$C,$D$118,NewData!$E:$E,$E$120)</f>
        <v>0</v>
      </c>
      <c r="H120" s="613">
        <f>SUMIFS(NewData!K:K,NewData!$C:$C,$D$118,NewData!$E:$E,$E$120)</f>
        <v>0</v>
      </c>
      <c r="I120" s="613">
        <f>SUMIFS(NewData!H:H,NewData!$C:$C,$D$118,NewData!$E:$E,$E$120)</f>
        <v>0</v>
      </c>
      <c r="J120" s="613">
        <f>SUMIFS(NewData!I:I,NewData!$C:$C,$D$118,NewData!$E:$E,$E$120)</f>
        <v>0</v>
      </c>
      <c r="K120" s="613">
        <f>SUMIFS(NewData!M:M,NewData!$C:$C,$D$118,NewData!$E:$E,$E$120)</f>
        <v>0</v>
      </c>
      <c r="L120" s="613">
        <f>J120-K120</f>
        <v>0</v>
      </c>
      <c r="M120" s="614">
        <f t="shared" si="53"/>
        <v>0</v>
      </c>
      <c r="N120" s="615">
        <f t="shared" si="52"/>
        <v>1.7210000000000001</v>
      </c>
      <c r="O120" s="620">
        <f>ROUND(M120*N120*$O$6,2)</f>
        <v>0</v>
      </c>
      <c r="P120" s="623" t="s">
        <v>315</v>
      </c>
      <c r="Q120" s="623">
        <f t="shared" ref="Q120:Q123" si="55">ROUND(IF(M120&lt;ClassSize,(1-(M120/200))*(VLOOKUP($B120,weights,3,FALSE))*M120,0),0)</f>
        <v>0</v>
      </c>
      <c r="R120" s="570" t="s">
        <v>316</v>
      </c>
      <c r="S120" s="620">
        <f>Q120+O120</f>
        <v>0</v>
      </c>
      <c r="T120" s="617"/>
      <c r="U120" s="617"/>
      <c r="V120" s="619"/>
    </row>
    <row r="121" spans="1:22" ht="18" customHeight="1">
      <c r="A121" s="781" t="s">
        <v>460</v>
      </c>
      <c r="B121" s="610" t="s">
        <v>335</v>
      </c>
      <c r="C121" s="610"/>
      <c r="D121" s="671"/>
      <c r="E121" s="669" t="s">
        <v>422</v>
      </c>
      <c r="F121" s="613">
        <f>SUMIFS(NewData!G:G,NewData!$C:$C,$D$118,NewData!$E:$E,$E$121)</f>
        <v>0</v>
      </c>
      <c r="G121" s="613">
        <f>SUMIFS(NewData!J:J,NewData!$C:$C,$D$118,NewData!$E:$E,$E$121)</f>
        <v>0</v>
      </c>
      <c r="H121" s="613">
        <f>SUMIFS(NewData!K:K,NewData!$C:$C,$D$118,NewData!$E:$E,$E$121)</f>
        <v>0</v>
      </c>
      <c r="I121" s="613">
        <f>SUMIFS(NewData!H:H,NewData!$C:$C,$D$118,NewData!$E:$E,$E$121)</f>
        <v>299</v>
      </c>
      <c r="J121" s="613">
        <f>SUMIFS(NewData!I:I,NewData!$C:$C,$D$118,NewData!$E:$E,$E$121)</f>
        <v>0</v>
      </c>
      <c r="K121" s="613">
        <f>SUMIFS(NewData!M:M,NewData!$C:$C,$D$118,NewData!$E:$E,$E$121)</f>
        <v>0</v>
      </c>
      <c r="L121" s="613">
        <f t="shared" ref="L121:L125" si="56">J121-K121</f>
        <v>0</v>
      </c>
      <c r="M121" s="614">
        <f t="shared" si="53"/>
        <v>12.46</v>
      </c>
      <c r="N121" s="615">
        <f t="shared" si="52"/>
        <v>1.7210000000000001</v>
      </c>
      <c r="O121" s="620">
        <f t="shared" ref="O121:O125" si="57">ROUND(M121*N121*$O$6,2)</f>
        <v>207757.27</v>
      </c>
      <c r="P121" s="623" t="s">
        <v>315</v>
      </c>
      <c r="Q121" s="623">
        <v>233675</v>
      </c>
      <c r="R121" s="570" t="s">
        <v>316</v>
      </c>
      <c r="S121" s="620">
        <f>Q121+O121</f>
        <v>441432.27</v>
      </c>
      <c r="T121" s="617"/>
      <c r="U121" s="617"/>
      <c r="V121" s="619"/>
    </row>
    <row r="122" spans="1:22" ht="18" customHeight="1">
      <c r="A122" s="781" t="s">
        <v>461</v>
      </c>
      <c r="B122" s="610" t="s">
        <v>335</v>
      </c>
      <c r="C122" s="610"/>
      <c r="D122" s="671"/>
      <c r="E122" s="669" t="s">
        <v>424</v>
      </c>
      <c r="F122" s="613">
        <f>SUMIFS(NewData!G:G,NewData!$C:$C,$D$118,NewData!$E:$E,$E$122)</f>
        <v>0</v>
      </c>
      <c r="G122" s="613">
        <f>SUMIFS(NewData!J:J,NewData!$C:$C,$D$118,NewData!$E:$E,$E$122)</f>
        <v>0</v>
      </c>
      <c r="H122" s="613">
        <f>SUMIFS(NewData!K:K,NewData!$C:$C,$D$118,NewData!$E:$E,$E$122)</f>
        <v>0</v>
      </c>
      <c r="I122" s="613">
        <f>SUMIFS(NewData!H:H,NewData!$C:$C,$D$118,NewData!$E:$E,$E$122)</f>
        <v>0</v>
      </c>
      <c r="J122" s="613">
        <f>SUMIFS(NewData!I:I,NewData!$C:$C,$D$118,NewData!$E:$E,$E$122)</f>
        <v>0</v>
      </c>
      <c r="K122" s="613">
        <f>SUMIFS(NewData!M:M,NewData!$C:$C,$D$118,NewData!$E:$E,$E$122)</f>
        <v>0</v>
      </c>
      <c r="L122" s="613">
        <f t="shared" si="56"/>
        <v>0</v>
      </c>
      <c r="M122" s="614">
        <f t="shared" si="53"/>
        <v>0</v>
      </c>
      <c r="N122" s="615">
        <f t="shared" si="52"/>
        <v>1.7210000000000001</v>
      </c>
      <c r="O122" s="620">
        <f t="shared" si="57"/>
        <v>0</v>
      </c>
      <c r="P122" s="623" t="s">
        <v>315</v>
      </c>
      <c r="Q122" s="623">
        <f t="shared" si="55"/>
        <v>0</v>
      </c>
      <c r="R122" s="570" t="s">
        <v>316</v>
      </c>
      <c r="S122" s="620">
        <f t="shared" ref="S122:S125" si="58">Q122+O122</f>
        <v>0</v>
      </c>
      <c r="T122" s="617"/>
      <c r="U122" s="617"/>
      <c r="V122" s="619"/>
    </row>
    <row r="123" spans="1:22" ht="18" customHeight="1">
      <c r="A123" s="781" t="s">
        <v>462</v>
      </c>
      <c r="B123" s="610" t="s">
        <v>335</v>
      </c>
      <c r="C123" s="610"/>
      <c r="D123" s="671"/>
      <c r="E123" s="669" t="s">
        <v>426</v>
      </c>
      <c r="F123" s="613">
        <f>SUMIFS(NewData!G:G,NewData!$C:$C,$D$118,NewData!$E:$E,$E$123)</f>
        <v>0</v>
      </c>
      <c r="G123" s="613">
        <f>SUMIFS(NewData!J:J,NewData!$C:$C,$D$118,NewData!$E:$E,$E$123)</f>
        <v>0</v>
      </c>
      <c r="H123" s="613">
        <f>SUMIFS(NewData!K:K,NewData!$C:$C,$D$118,NewData!$E:$E,$E$123)</f>
        <v>0</v>
      </c>
      <c r="I123" s="613">
        <f>SUMIFS(NewData!H:H,NewData!$C:$C,$D$118,NewData!$E:$E,$E$123)</f>
        <v>0</v>
      </c>
      <c r="J123" s="613">
        <f>SUMIFS(NewData!I:I,NewData!$C:$C,$D$118,NewData!$E:$E,$E$123)</f>
        <v>0</v>
      </c>
      <c r="K123" s="613">
        <f>SUMIFS(NewData!M:M,NewData!$C:$C,$D$118,NewData!$E:$E,$E$123)</f>
        <v>0</v>
      </c>
      <c r="L123" s="613">
        <f t="shared" si="56"/>
        <v>0</v>
      </c>
      <c r="M123" s="614">
        <f t="shared" si="53"/>
        <v>0</v>
      </c>
      <c r="N123" s="615">
        <f t="shared" si="52"/>
        <v>1.7210000000000001</v>
      </c>
      <c r="O123" s="620">
        <f t="shared" si="57"/>
        <v>0</v>
      </c>
      <c r="P123" s="623" t="s">
        <v>315</v>
      </c>
      <c r="Q123" s="623">
        <f t="shared" si="55"/>
        <v>0</v>
      </c>
      <c r="R123" s="570" t="s">
        <v>316</v>
      </c>
      <c r="S123" s="620">
        <f t="shared" si="58"/>
        <v>0</v>
      </c>
      <c r="T123" s="617"/>
      <c r="U123" s="617"/>
      <c r="V123" s="619"/>
    </row>
    <row r="124" spans="1:22" ht="18" customHeight="1">
      <c r="A124" s="781" t="s">
        <v>463</v>
      </c>
      <c r="B124" s="610" t="s">
        <v>335</v>
      </c>
      <c r="C124" s="610"/>
      <c r="D124" s="671"/>
      <c r="E124" s="703" t="s">
        <v>428</v>
      </c>
      <c r="F124" s="613">
        <f>SUMIFS(NewData!G:G,NewData!$C:$C,$D$118,NewData!$E:$E,$E$124)</f>
        <v>0</v>
      </c>
      <c r="G124" s="613">
        <f>SUMIFS(NewData!J:J,NewData!$C:$C,$D$118,NewData!$E:$E,$E$124)</f>
        <v>0</v>
      </c>
      <c r="H124" s="613">
        <f>SUMIFS(NewData!K:K,NewData!$C:$C,$D$118,NewData!$E:$E,$E$124)</f>
        <v>0</v>
      </c>
      <c r="I124" s="613">
        <f>SUMIFS(NewData!H:H,NewData!$C:$C,$D$118,NewData!$E:$E,$E$124)</f>
        <v>0</v>
      </c>
      <c r="J124" s="613">
        <f>SUMIFS(NewData!I:I,NewData!$C:$C,$D$118,NewData!$E:$E,$E$124)</f>
        <v>0</v>
      </c>
      <c r="K124" s="613">
        <f>SUMIFS(NewData!M:M,NewData!$C:$C,$D$118,NewData!$E:$E,$E$124)</f>
        <v>0</v>
      </c>
      <c r="L124" s="613">
        <f>J124-K124</f>
        <v>0</v>
      </c>
      <c r="M124" s="614">
        <f>ROUND(G124+H124+(F124/F$6)+(I124/I$6)+(L124/L$6),2)</f>
        <v>0</v>
      </c>
      <c r="N124" s="615">
        <f t="shared" si="52"/>
        <v>1.7210000000000001</v>
      </c>
      <c r="O124" s="620">
        <f>ROUND(M124*N124*$O$6,2)</f>
        <v>0</v>
      </c>
      <c r="P124" s="623" t="s">
        <v>315</v>
      </c>
      <c r="Q124" s="623">
        <f t="shared" ref="Q124" si="59">ROUND(IF(M124&lt;ClassSize,(1-(M124/200))*(VLOOKUP($B124,weights,3,FALSE))*M124,0),0)</f>
        <v>0</v>
      </c>
      <c r="R124" s="570" t="s">
        <v>316</v>
      </c>
      <c r="S124" s="620">
        <f t="shared" si="58"/>
        <v>0</v>
      </c>
      <c r="T124" s="617"/>
      <c r="U124" s="617"/>
      <c r="V124" s="619"/>
    </row>
    <row r="125" spans="1:22" ht="18" customHeight="1">
      <c r="A125" s="782" t="s">
        <v>464</v>
      </c>
      <c r="B125" s="771" t="s">
        <v>335</v>
      </c>
      <c r="C125" s="771"/>
      <c r="D125" s="772"/>
      <c r="E125" s="773" t="s">
        <v>446</v>
      </c>
      <c r="F125" s="775">
        <f>SUMIFS(NewData!G:G,NewData!$C:$C,$D$118,NewData!$E:$E,$E$125)</f>
        <v>612</v>
      </c>
      <c r="G125" s="775">
        <f>SUMIFS(NewData!J:J,NewData!$C:$C,$D$118,NewData!$E:$E,$E$125)</f>
        <v>0</v>
      </c>
      <c r="H125" s="775">
        <f>SUMIFS(NewData!K:K,NewData!$C:$C,$D$118,NewData!$E:$E,$E$125)</f>
        <v>0</v>
      </c>
      <c r="I125" s="775">
        <f>SUMIFS(NewData!H:H,NewData!$C:$C,$D$118,NewData!$E:$E,$E$125)</f>
        <v>1</v>
      </c>
      <c r="J125" s="775">
        <f>SUMIFS(NewData!I:I,NewData!$C:$C,$D$118,NewData!$E:$E,$E$125)</f>
        <v>0</v>
      </c>
      <c r="K125" s="775">
        <f>SUMIFS(NewData!M:M,NewData!$C:$C,$D$118,NewData!$E:$E,$E$125)</f>
        <v>0</v>
      </c>
      <c r="L125" s="775">
        <f t="shared" si="56"/>
        <v>0</v>
      </c>
      <c r="M125" s="625">
        <f t="shared" si="53"/>
        <v>20.440000000000001</v>
      </c>
      <c r="N125" s="776">
        <f t="shared" si="52"/>
        <v>1.7210000000000001</v>
      </c>
      <c r="O125" s="779">
        <f t="shared" si="57"/>
        <v>340815.3</v>
      </c>
      <c r="P125" s="676" t="s">
        <v>315</v>
      </c>
      <c r="Q125" s="676">
        <v>367021</v>
      </c>
      <c r="R125" s="778" t="s">
        <v>316</v>
      </c>
      <c r="S125" s="779">
        <f t="shared" si="58"/>
        <v>707836.3</v>
      </c>
      <c r="T125" s="783"/>
      <c r="U125" s="783"/>
      <c r="V125" s="619"/>
    </row>
    <row r="126" spans="1:22" ht="18" customHeight="1" thickBot="1">
      <c r="A126" s="691" t="s">
        <v>375</v>
      </c>
      <c r="B126" s="610"/>
      <c r="C126" s="610" t="s">
        <v>336</v>
      </c>
      <c r="D126" s="671"/>
      <c r="E126" s="671"/>
      <c r="F126" s="672">
        <f>SUM(F118:F125)</f>
        <v>15654</v>
      </c>
      <c r="G126" s="784"/>
      <c r="H126" s="784"/>
      <c r="I126" s="672">
        <f>SUM(I118:I125)</f>
        <v>8532</v>
      </c>
      <c r="J126" s="672">
        <f>SUM(J118:J125)</f>
        <v>1103</v>
      </c>
      <c r="K126" s="672">
        <f>SUM(K118:K125)</f>
        <v>1</v>
      </c>
      <c r="L126" s="672">
        <f>SUM(L118:L125)</f>
        <v>1102</v>
      </c>
      <c r="M126" s="785">
        <f>SUM(M118:M125)</f>
        <v>938.5200000000001</v>
      </c>
      <c r="N126" s="615"/>
      <c r="O126" s="618">
        <f>SUM(O118:O125)</f>
        <v>15648824.83</v>
      </c>
      <c r="P126" s="676" t="s">
        <v>315</v>
      </c>
      <c r="Q126" s="767">
        <f>SUM(Q118:Q125)</f>
        <v>600696</v>
      </c>
      <c r="R126" s="778" t="s">
        <v>316</v>
      </c>
      <c r="S126" s="618">
        <f>SUM(S118:S125)</f>
        <v>16249520.83</v>
      </c>
      <c r="T126" s="686">
        <f>ROUND($S126,0)</f>
        <v>16249521</v>
      </c>
      <c r="U126" s="686">
        <f>ROUND($S126,0)</f>
        <v>16249521</v>
      </c>
      <c r="V126" s="619">
        <f t="shared" si="34"/>
        <v>32499042</v>
      </c>
    </row>
    <row r="127" spans="1:22" ht="18" customHeight="1" thickBot="1">
      <c r="A127" s="786" t="s">
        <v>465</v>
      </c>
      <c r="B127" s="787" t="s">
        <v>324</v>
      </c>
      <c r="C127" s="787" t="s">
        <v>466</v>
      </c>
      <c r="D127" s="788"/>
      <c r="E127" s="788"/>
      <c r="F127" s="693">
        <f t="shared" ref="F127:M127" si="60">F126+F105+F107+F97+F95+F116+F112</f>
        <v>31372</v>
      </c>
      <c r="G127" s="693">
        <f t="shared" si="60"/>
        <v>1145</v>
      </c>
      <c r="H127" s="693">
        <f t="shared" si="60"/>
        <v>98</v>
      </c>
      <c r="I127" s="693">
        <f t="shared" si="60"/>
        <v>29060</v>
      </c>
      <c r="J127" s="693">
        <f t="shared" si="60"/>
        <v>3096</v>
      </c>
      <c r="K127" s="693">
        <f t="shared" si="60"/>
        <v>46</v>
      </c>
      <c r="L127" s="694">
        <f t="shared" si="60"/>
        <v>3050</v>
      </c>
      <c r="M127" s="630">
        <f t="shared" si="60"/>
        <v>3669.02</v>
      </c>
      <c r="N127" s="789"/>
      <c r="O127" s="693">
        <f>O126+O105+O107+O97+O95+O116+O112</f>
        <v>91905199.129999995</v>
      </c>
      <c r="P127" s="790" t="s">
        <v>315</v>
      </c>
      <c r="Q127" s="723">
        <f>Q126+Q105+Q107+Q97+Q95+Q116+Q112</f>
        <v>8099312</v>
      </c>
      <c r="R127" s="635" t="s">
        <v>316</v>
      </c>
      <c r="S127" s="693">
        <f>S126+S105+S107+S97+S95+S116+S112</f>
        <v>100004511.13</v>
      </c>
      <c r="T127" s="637">
        <f>ROUND($S127,0)</f>
        <v>100004511</v>
      </c>
      <c r="U127" s="637">
        <f>ROUND($S127,0)</f>
        <v>100004511</v>
      </c>
      <c r="V127" s="619">
        <f t="shared" si="34"/>
        <v>200009022</v>
      </c>
    </row>
    <row r="128" spans="1:22" ht="18" customHeight="1">
      <c r="F128" s="638"/>
      <c r="G128" s="638"/>
      <c r="H128" s="638"/>
      <c r="I128" s="638"/>
      <c r="J128" s="638"/>
      <c r="K128" s="638"/>
      <c r="L128" s="638"/>
      <c r="M128" s="571" t="str">
        <f>IF(M127=NewData!Q44,"","Error")</f>
        <v/>
      </c>
      <c r="O128" s="639"/>
      <c r="V128" s="619"/>
    </row>
    <row r="129" spans="1:22" ht="18" customHeight="1">
      <c r="F129" s="548"/>
      <c r="G129" s="638"/>
      <c r="H129" s="638"/>
      <c r="I129" s="548"/>
      <c r="J129" s="548"/>
      <c r="L129" s="548"/>
      <c r="M129" s="640"/>
      <c r="O129" s="639"/>
      <c r="V129" s="619"/>
    </row>
    <row r="130" spans="1:22" ht="18" customHeight="1">
      <c r="A130" s="605" t="s">
        <v>467</v>
      </c>
      <c r="B130" s="606"/>
      <c r="C130" s="606"/>
      <c r="D130" s="641"/>
      <c r="E130" s="641"/>
      <c r="F130" s="642"/>
      <c r="G130" s="642"/>
      <c r="H130" s="642"/>
      <c r="I130" s="642"/>
      <c r="J130" s="638"/>
      <c r="K130" s="638"/>
      <c r="L130" s="638"/>
      <c r="O130" s="682"/>
      <c r="Q130" s="682"/>
      <c r="T130" s="682"/>
      <c r="V130" s="619"/>
    </row>
    <row r="131" spans="1:22" ht="18" customHeight="1">
      <c r="A131" s="610" t="s">
        <v>241</v>
      </c>
      <c r="B131" s="610" t="s">
        <v>317</v>
      </c>
      <c r="C131" s="610" t="s">
        <v>318</v>
      </c>
      <c r="D131" s="611" t="s">
        <v>468</v>
      </c>
      <c r="E131" s="671"/>
      <c r="F131" s="613">
        <f>VLOOKUP($D$131,collegecode,5,FALSE)</f>
        <v>144</v>
      </c>
      <c r="G131" s="612"/>
      <c r="H131" s="612"/>
      <c r="I131" s="613">
        <f>VLOOKUP($D$131,collegecode,6,FALSE)</f>
        <v>12483</v>
      </c>
      <c r="J131" s="613">
        <f>VLOOKUP($D$131,collegecode,7,FALSE)</f>
        <v>1863</v>
      </c>
      <c r="K131" s="613">
        <f>VLOOKUP($D$131,collegecode,11,FALSE)</f>
        <v>85</v>
      </c>
      <c r="L131" s="613">
        <f>J131-K131</f>
        <v>1778</v>
      </c>
      <c r="M131" s="614">
        <f>ROUND(G131+H131+(F131/F$6)+(I131/I$6)+(L131/L$6),2)</f>
        <v>623.70000000000005</v>
      </c>
      <c r="N131" s="615">
        <f>VLOOKUP($B131,weights,2,FALSE)</f>
        <v>1.018</v>
      </c>
      <c r="O131" s="620">
        <f>ROUND(M131*N131*$O$6,2)</f>
        <v>6151497.46</v>
      </c>
      <c r="P131" s="623" t="s">
        <v>315</v>
      </c>
      <c r="Q131" s="621">
        <v>0</v>
      </c>
      <c r="R131" s="570" t="s">
        <v>316</v>
      </c>
      <c r="S131" s="622">
        <f>Q131+O131</f>
        <v>6151497.46</v>
      </c>
      <c r="T131" s="623">
        <f t="shared" ref="T131:U134" si="61">ROUND($S131,0)</f>
        <v>6151497</v>
      </c>
      <c r="U131" s="623">
        <f t="shared" si="61"/>
        <v>6151497</v>
      </c>
      <c r="V131" s="619">
        <f t="shared" si="34"/>
        <v>12302994</v>
      </c>
    </row>
    <row r="132" spans="1:22" ht="18" customHeight="1">
      <c r="A132" s="610" t="s">
        <v>240</v>
      </c>
      <c r="B132" s="610" t="s">
        <v>320</v>
      </c>
      <c r="C132" s="610" t="s">
        <v>321</v>
      </c>
      <c r="D132" s="611" t="s">
        <v>469</v>
      </c>
      <c r="E132" s="671"/>
      <c r="F132" s="613">
        <f>VLOOKUP($D$132,collegecode,5,FALSE)</f>
        <v>0</v>
      </c>
      <c r="G132" s="612"/>
      <c r="H132" s="612"/>
      <c r="I132" s="613">
        <f>VLOOKUP($D$132,collegecode,6,FALSE)</f>
        <v>13897</v>
      </c>
      <c r="J132" s="613">
        <f>VLOOKUP($D$132,collegecode,7,FALSE)</f>
        <v>0</v>
      </c>
      <c r="K132" s="613">
        <f>VLOOKUP($D$132,collegecode,11,FALSE)</f>
        <v>0</v>
      </c>
      <c r="L132" s="613">
        <f>J132-K132</f>
        <v>0</v>
      </c>
      <c r="M132" s="614">
        <f>ROUND(G132+H132+(F132/F$6)+(I132/I$6)+(L132/L$6),2)</f>
        <v>579.04</v>
      </c>
      <c r="N132" s="615">
        <f>VLOOKUP($B132,weights,2,FALSE)</f>
        <v>1</v>
      </c>
      <c r="O132" s="620">
        <f>ROUND(M132*N132*$O$6,2)</f>
        <v>5610039.1600000001</v>
      </c>
      <c r="P132" s="623" t="s">
        <v>315</v>
      </c>
      <c r="Q132" s="621">
        <v>0</v>
      </c>
      <c r="R132" s="570" t="s">
        <v>316</v>
      </c>
      <c r="S132" s="622">
        <f>Q132+O132</f>
        <v>5610039.1600000001</v>
      </c>
      <c r="T132" s="623">
        <f t="shared" si="61"/>
        <v>5610039</v>
      </c>
      <c r="U132" s="623">
        <f t="shared" si="61"/>
        <v>5610039</v>
      </c>
      <c r="V132" s="619">
        <f t="shared" si="34"/>
        <v>11220078</v>
      </c>
    </row>
    <row r="133" spans="1:22" ht="18" customHeight="1">
      <c r="A133" s="791" t="s">
        <v>245</v>
      </c>
      <c r="B133" s="610" t="s">
        <v>335</v>
      </c>
      <c r="C133" s="610" t="s">
        <v>336</v>
      </c>
      <c r="D133" s="611" t="s">
        <v>470</v>
      </c>
      <c r="E133" s="671"/>
      <c r="F133" s="613">
        <f>VLOOKUP($D$133,collegecode,5,FALSE)</f>
        <v>0</v>
      </c>
      <c r="G133" s="612"/>
      <c r="H133" s="612"/>
      <c r="I133" s="613">
        <f>VLOOKUP($D$133,collegecode,6,FALSE)</f>
        <v>3641</v>
      </c>
      <c r="J133" s="613">
        <f>VLOOKUP($D$133,collegecode,7,FALSE)</f>
        <v>223</v>
      </c>
      <c r="K133" s="613">
        <f>VLOOKUP($D$133,collegecode,11,FALSE)</f>
        <v>0</v>
      </c>
      <c r="L133" s="613">
        <f>J133-K133</f>
        <v>223</v>
      </c>
      <c r="M133" s="614">
        <f>ROUND(G133+H133+(F133/F$6)+(I133/I$6)+(L133/L$6),2)</f>
        <v>164.1</v>
      </c>
      <c r="N133" s="615">
        <f>VLOOKUP($B133,weights,2,FALSE)</f>
        <v>1.7210000000000001</v>
      </c>
      <c r="O133" s="620">
        <f>ROUND(M133*N133*$O$6,2)</f>
        <v>2736193.32</v>
      </c>
      <c r="P133" s="623" t="s">
        <v>315</v>
      </c>
      <c r="Q133" s="623">
        <v>0</v>
      </c>
      <c r="R133" s="570" t="s">
        <v>316</v>
      </c>
      <c r="S133" s="622">
        <f>Q133+O133</f>
        <v>2736193.32</v>
      </c>
      <c r="T133" s="623">
        <f>ROUND($S133,0)</f>
        <v>2736193</v>
      </c>
      <c r="U133" s="623">
        <f>ROUND($S133,0)</f>
        <v>2736193</v>
      </c>
      <c r="V133" s="619">
        <f t="shared" si="34"/>
        <v>5472386</v>
      </c>
    </row>
    <row r="134" spans="1:22" ht="18" customHeight="1">
      <c r="A134" s="610" t="s">
        <v>471</v>
      </c>
      <c r="B134" s="610" t="s">
        <v>449</v>
      </c>
      <c r="C134" s="610" t="s">
        <v>454</v>
      </c>
      <c r="D134" s="611" t="s">
        <v>472</v>
      </c>
      <c r="E134" s="671"/>
      <c r="F134" s="613">
        <f>VLOOKUP($D$134,collegecode,5,FALSE)</f>
        <v>0</v>
      </c>
      <c r="G134" s="612"/>
      <c r="H134" s="612"/>
      <c r="I134" s="613">
        <f>VLOOKUP($D$134,collegecode,6,FALSE)</f>
        <v>12490</v>
      </c>
      <c r="J134" s="613">
        <f>VLOOKUP($D$134,collegecode,7,FALSE)</f>
        <v>0</v>
      </c>
      <c r="K134" s="613">
        <f>VLOOKUP($D$134,collegecode,11,FALSE)</f>
        <v>0</v>
      </c>
      <c r="L134" s="613">
        <f>J134-K134</f>
        <v>0</v>
      </c>
      <c r="M134" s="614">
        <f>ROUND(G134+H134+(F134/F$6)+(I134/I$6)+(L134/L$6),2)</f>
        <v>520.41999999999996</v>
      </c>
      <c r="N134" s="615">
        <f>VLOOKUP($B134,weights,2,FALSE)</f>
        <v>1.67</v>
      </c>
      <c r="O134" s="620">
        <f>ROUND(M134*N134*$O$6,2)</f>
        <v>8420304.1099999994</v>
      </c>
      <c r="P134" s="623" t="s">
        <v>315</v>
      </c>
      <c r="Q134" s="621">
        <v>0</v>
      </c>
      <c r="R134" s="570" t="s">
        <v>316</v>
      </c>
      <c r="S134" s="622">
        <f>Q134+O134</f>
        <v>8420304.1099999994</v>
      </c>
      <c r="T134" s="623">
        <f t="shared" si="61"/>
        <v>8420304</v>
      </c>
      <c r="U134" s="623">
        <f t="shared" si="61"/>
        <v>8420304</v>
      </c>
      <c r="V134" s="619">
        <f t="shared" si="34"/>
        <v>16840608</v>
      </c>
    </row>
    <row r="135" spans="1:22" ht="18" customHeight="1" thickBot="1">
      <c r="A135" s="610" t="s">
        <v>473</v>
      </c>
      <c r="B135" s="610" t="s">
        <v>312</v>
      </c>
      <c r="C135" s="610" t="s">
        <v>313</v>
      </c>
      <c r="D135" s="611" t="s">
        <v>474</v>
      </c>
      <c r="E135" s="671"/>
      <c r="F135" s="613">
        <f>VLOOKUP($D$135,collegecode,5,FALSE)</f>
        <v>0</v>
      </c>
      <c r="G135" s="613">
        <f>VLOOKUP($D$135,collegecode,8,FALSE)</f>
        <v>935</v>
      </c>
      <c r="H135" s="612"/>
      <c r="I135" s="613">
        <f>VLOOKUP($D$135,collegecode,6,FALSE)</f>
        <v>0</v>
      </c>
      <c r="J135" s="613">
        <f>VLOOKUP($D$135,collegecode,7,FALSE)</f>
        <v>0</v>
      </c>
      <c r="K135" s="613">
        <f>VLOOKUP($D$135,collegecode,11,FALSE)</f>
        <v>0</v>
      </c>
      <c r="L135" s="613">
        <f>J135-K135</f>
        <v>0</v>
      </c>
      <c r="M135" s="625">
        <f>ROUND(G135+H135+(F135/F$6)+(I135/I$6)+(L135/L$6),2)</f>
        <v>935</v>
      </c>
      <c r="N135" s="615">
        <f>VLOOKUP($B135,weights,2,FALSE)</f>
        <v>4.7530000000000001</v>
      </c>
      <c r="O135" s="616">
        <f>ROUND(M135*N135*$O$6,2)</f>
        <v>43056304.560000002</v>
      </c>
      <c r="P135" s="617" t="s">
        <v>315</v>
      </c>
      <c r="Q135" s="686">
        <v>0</v>
      </c>
      <c r="R135" s="570" t="s">
        <v>316</v>
      </c>
      <c r="S135" s="618">
        <f>Q135+O135</f>
        <v>43056304.560000002</v>
      </c>
      <c r="T135" s="617">
        <f>ROUND($S135,0)</f>
        <v>43056305</v>
      </c>
      <c r="U135" s="617">
        <f>ROUND($S135,0)</f>
        <v>43056305</v>
      </c>
      <c r="V135" s="619">
        <f t="shared" si="34"/>
        <v>86112610</v>
      </c>
    </row>
    <row r="136" spans="1:22" s="575" customFormat="1" ht="18" customHeight="1" thickBot="1">
      <c r="A136" s="786" t="s">
        <v>475</v>
      </c>
      <c r="B136" s="787" t="s">
        <v>324</v>
      </c>
      <c r="C136" s="787" t="s">
        <v>476</v>
      </c>
      <c r="D136" s="792"/>
      <c r="E136" s="792"/>
      <c r="F136" s="723">
        <f>SUM(F131:F135)</f>
        <v>144</v>
      </c>
      <c r="G136" s="723">
        <f>SUM(G131:G135)</f>
        <v>935</v>
      </c>
      <c r="H136" s="723">
        <f t="shared" ref="H136" si="62">SUM(H131:H135)</f>
        <v>0</v>
      </c>
      <c r="I136" s="723">
        <f>SUM(I131:I135)</f>
        <v>42511</v>
      </c>
      <c r="J136" s="723">
        <f>SUM(J131:J135)</f>
        <v>2086</v>
      </c>
      <c r="K136" s="723">
        <f>SUM(K131:K135)</f>
        <v>85</v>
      </c>
      <c r="L136" s="724">
        <f>SUM(L131:L135)</f>
        <v>2001</v>
      </c>
      <c r="M136" s="630">
        <f>SUM(M131:M135)</f>
        <v>2822.2599999999998</v>
      </c>
      <c r="N136" s="725"/>
      <c r="O136" s="723">
        <f t="shared" ref="O136:Q136" si="63">SUM(O131:O135)</f>
        <v>65974338.609999999</v>
      </c>
      <c r="P136" s="634" t="s">
        <v>315</v>
      </c>
      <c r="Q136" s="723">
        <f t="shared" si="63"/>
        <v>0</v>
      </c>
      <c r="R136" s="635" t="s">
        <v>316</v>
      </c>
      <c r="S136" s="723">
        <f>SUM(S131:S135)</f>
        <v>65974338.609999999</v>
      </c>
      <c r="T136" s="637">
        <f>ROUND($S136,0)</f>
        <v>65974339</v>
      </c>
      <c r="U136" s="637">
        <f>ROUND($S136,0)</f>
        <v>65974339</v>
      </c>
      <c r="V136" s="619">
        <f t="shared" si="34"/>
        <v>131948678</v>
      </c>
    </row>
    <row r="137" spans="1:22" ht="18" customHeight="1">
      <c r="F137" s="638"/>
      <c r="G137" s="638"/>
      <c r="H137" s="638"/>
      <c r="I137" s="638"/>
      <c r="J137" s="638"/>
      <c r="K137" s="638"/>
      <c r="L137" s="638"/>
      <c r="M137" s="571" t="str">
        <f>IF(M136=NewData!Q49,"","Error")</f>
        <v/>
      </c>
      <c r="O137" s="639"/>
      <c r="V137" s="619"/>
    </row>
    <row r="138" spans="1:22" ht="18" customHeight="1">
      <c r="F138" s="548"/>
      <c r="G138" s="638"/>
      <c r="H138" s="638"/>
      <c r="I138" s="548"/>
      <c r="J138" s="548"/>
      <c r="L138" s="548"/>
      <c r="M138" s="640"/>
      <c r="O138" s="639"/>
      <c r="T138" s="619"/>
      <c r="U138" s="682"/>
      <c r="V138" s="619"/>
    </row>
    <row r="139" spans="1:22" ht="18" customHeight="1">
      <c r="A139" s="605" t="s">
        <v>477</v>
      </c>
      <c r="B139" s="606"/>
      <c r="C139" s="606"/>
      <c r="D139" s="641"/>
      <c r="E139" s="641"/>
      <c r="F139" s="642"/>
      <c r="G139" s="642"/>
      <c r="H139" s="642"/>
      <c r="I139" s="642"/>
      <c r="J139" s="638"/>
      <c r="K139" s="638"/>
      <c r="L139" s="638"/>
      <c r="O139" s="639"/>
      <c r="V139" s="619"/>
    </row>
    <row r="140" spans="1:22" ht="18" customHeight="1">
      <c r="A140" s="756" t="s">
        <v>478</v>
      </c>
      <c r="B140" s="610" t="s">
        <v>312</v>
      </c>
      <c r="C140" s="610"/>
      <c r="D140" s="611" t="s">
        <v>479</v>
      </c>
      <c r="E140" s="671"/>
      <c r="F140" s="612"/>
      <c r="G140" s="613">
        <f>VLOOKUP($D$140,collegecode,8,FALSE)</f>
        <v>565</v>
      </c>
      <c r="H140" s="612"/>
      <c r="I140" s="612"/>
      <c r="J140" s="612"/>
      <c r="K140" s="612"/>
      <c r="L140" s="613">
        <f>J140-K140</f>
        <v>0</v>
      </c>
      <c r="M140" s="614">
        <f>ROUND(G140+H140+(F140/F$6)+(I140/I$6)+(L140/L$6),2)</f>
        <v>565</v>
      </c>
      <c r="N140" s="615">
        <f>VLOOKUP($B140,weights,2,FALSE)</f>
        <v>4.7530000000000001</v>
      </c>
      <c r="O140" s="616">
        <f>ROUND(M140*N140*$O$6,2)</f>
        <v>26017980.829999998</v>
      </c>
      <c r="P140" s="623" t="s">
        <v>315</v>
      </c>
      <c r="Q140" s="617">
        <v>0</v>
      </c>
      <c r="R140" s="570" t="s">
        <v>316</v>
      </c>
      <c r="S140" s="616">
        <f>Q140+O140</f>
        <v>26017980.829999998</v>
      </c>
      <c r="T140" s="623"/>
      <c r="U140" s="623"/>
      <c r="V140" s="619"/>
    </row>
    <row r="141" spans="1:22" ht="18" customHeight="1">
      <c r="A141" s="756" t="s">
        <v>480</v>
      </c>
      <c r="B141" s="610" t="s">
        <v>312</v>
      </c>
      <c r="C141" s="610"/>
      <c r="D141" s="671"/>
      <c r="E141" s="669" t="s">
        <v>481</v>
      </c>
      <c r="F141" s="612"/>
      <c r="G141" s="613">
        <f>SUMIFS(NewData!J:J,NewData!$C:$C,D140,NewData!$E:$E,$E$141)</f>
        <v>104</v>
      </c>
      <c r="H141" s="612"/>
      <c r="I141" s="612"/>
      <c r="J141" s="612"/>
      <c r="K141" s="612"/>
      <c r="L141" s="613">
        <f>J141-K141</f>
        <v>0</v>
      </c>
      <c r="M141" s="614">
        <f>ROUND(G141+H141+(F141/F$6)+(I141/I$6)+(L141/L$6),2)</f>
        <v>104</v>
      </c>
      <c r="N141" s="615">
        <f>VLOOKUP($B141,weights,2,FALSE)</f>
        <v>4.7530000000000001</v>
      </c>
      <c r="O141" s="620">
        <f>ROUND(M141*N141*$O$6,2)</f>
        <v>4789150.45</v>
      </c>
      <c r="P141" s="623" t="s">
        <v>315</v>
      </c>
      <c r="Q141" s="623">
        <v>1497600</v>
      </c>
      <c r="R141" s="570" t="s">
        <v>316</v>
      </c>
      <c r="S141" s="620">
        <f>Q141+O141</f>
        <v>6286750.4500000002</v>
      </c>
      <c r="T141" s="623"/>
      <c r="U141" s="623"/>
      <c r="V141" s="619"/>
    </row>
    <row r="142" spans="1:22" ht="18" customHeight="1">
      <c r="A142" s="756" t="s">
        <v>482</v>
      </c>
      <c r="B142" s="610" t="s">
        <v>312</v>
      </c>
      <c r="C142" s="610"/>
      <c r="D142" s="671"/>
      <c r="E142" s="669" t="s">
        <v>483</v>
      </c>
      <c r="F142" s="612"/>
      <c r="G142" s="613">
        <f>SUMIFS(NewData!J:J,NewData!$C:$C,D140,NewData!$E:$E,$E$142)</f>
        <v>45</v>
      </c>
      <c r="H142" s="612"/>
      <c r="I142" s="612"/>
      <c r="J142" s="612"/>
      <c r="K142" s="612"/>
      <c r="L142" s="613">
        <f>J142-K142</f>
        <v>0</v>
      </c>
      <c r="M142" s="614">
        <f>ROUND(G142+H142+(F142/F$6)+(I142/I$6)+(L142/L$6),2)</f>
        <v>45</v>
      </c>
      <c r="N142" s="615">
        <f>VLOOKUP($B142,weights,2,FALSE)</f>
        <v>4.7530000000000001</v>
      </c>
      <c r="O142" s="620">
        <f>ROUND(M142*N142*$O$6,2)</f>
        <v>2072228.56</v>
      </c>
      <c r="P142" s="623" t="s">
        <v>315</v>
      </c>
      <c r="Q142" s="623">
        <v>1046250</v>
      </c>
      <c r="R142" s="570" t="s">
        <v>316</v>
      </c>
      <c r="S142" s="620">
        <f>Q142+O142</f>
        <v>3118478.56</v>
      </c>
      <c r="T142" s="623"/>
      <c r="U142" s="623"/>
      <c r="V142" s="619"/>
    </row>
    <row r="143" spans="1:22" ht="18" customHeight="1">
      <c r="A143" s="757" t="s">
        <v>429</v>
      </c>
      <c r="B143" s="610"/>
      <c r="C143" s="610" t="s">
        <v>313</v>
      </c>
      <c r="D143" s="671"/>
      <c r="E143" s="671"/>
      <c r="F143" s="793"/>
      <c r="G143" s="613">
        <f>SUM(G140:G142)</f>
        <v>714</v>
      </c>
      <c r="H143" s="793"/>
      <c r="I143" s="793"/>
      <c r="J143" s="793"/>
      <c r="K143" s="793"/>
      <c r="L143" s="613">
        <f>SUM(L140:L142)</f>
        <v>0</v>
      </c>
      <c r="M143" s="673">
        <f>SUM(M140:M142)</f>
        <v>714</v>
      </c>
      <c r="N143" s="615"/>
      <c r="O143" s="618">
        <f>SUM(O140:O142)</f>
        <v>32879359.839999996</v>
      </c>
      <c r="P143" s="623"/>
      <c r="Q143" s="686">
        <f>SUM(Q140:Q142)</f>
        <v>2543850</v>
      </c>
      <c r="R143" s="570"/>
      <c r="S143" s="618">
        <f>SUM(S140:S142)</f>
        <v>35423209.839999996</v>
      </c>
      <c r="T143" s="686">
        <f>ROUND($S143,0)</f>
        <v>35423210</v>
      </c>
      <c r="U143" s="686">
        <f>ROUND($S143,0)</f>
        <v>35423210</v>
      </c>
      <c r="V143" s="619">
        <f t="shared" ref="V143:V206" si="64">T143+U143</f>
        <v>70846420</v>
      </c>
    </row>
    <row r="144" spans="1:22" ht="18" customHeight="1">
      <c r="A144" s="794"/>
      <c r="F144" s="638"/>
      <c r="G144" s="638"/>
      <c r="H144" s="638"/>
      <c r="I144" s="638"/>
      <c r="J144" s="638"/>
      <c r="K144" s="638"/>
      <c r="L144" s="638"/>
      <c r="O144" s="682"/>
      <c r="P144" s="682"/>
      <c r="Q144" s="682"/>
      <c r="S144" s="682"/>
      <c r="T144" s="682"/>
      <c r="U144" s="682"/>
      <c r="V144" s="619"/>
    </row>
    <row r="145" spans="1:22" ht="18" customHeight="1">
      <c r="A145" s="756" t="s">
        <v>484</v>
      </c>
      <c r="B145" s="610" t="s">
        <v>317</v>
      </c>
      <c r="C145" s="795"/>
      <c r="D145" s="611" t="s">
        <v>485</v>
      </c>
      <c r="E145" s="610"/>
      <c r="F145" s="612"/>
      <c r="G145" s="612"/>
      <c r="H145" s="612"/>
      <c r="I145" s="613">
        <f>VLOOKUP($D$145,collegecode,6,FALSE)</f>
        <v>1041</v>
      </c>
      <c r="J145" s="613">
        <f>VLOOKUP(D145,collegecode,7,FALSE)</f>
        <v>1242</v>
      </c>
      <c r="K145" s="613">
        <f>VLOOKUP(D145,collegecode,11,FALSE)</f>
        <v>0</v>
      </c>
      <c r="L145" s="613">
        <f>J145-K145</f>
        <v>1242</v>
      </c>
      <c r="M145" s="614">
        <f>ROUND(G145+H145+(F145/F$6)+(I145/I$6)+(L145/L$6),2)</f>
        <v>112.38</v>
      </c>
      <c r="N145" s="615">
        <f>VLOOKUP($B145,weights,2,FALSE)</f>
        <v>1.018</v>
      </c>
      <c r="O145" s="616">
        <f>ROUND(M145*N145*$O$6,2)</f>
        <v>1108393.92</v>
      </c>
      <c r="P145" s="623" t="s">
        <v>315</v>
      </c>
      <c r="Q145" s="617"/>
      <c r="R145" s="570" t="s">
        <v>316</v>
      </c>
      <c r="S145" s="616">
        <f>Q145+O145</f>
        <v>1108393.92</v>
      </c>
      <c r="T145" s="623"/>
      <c r="U145" s="623"/>
      <c r="V145" s="619"/>
    </row>
    <row r="146" spans="1:22" ht="18" customHeight="1">
      <c r="A146" s="756" t="s">
        <v>486</v>
      </c>
      <c r="B146" s="610" t="s">
        <v>317</v>
      </c>
      <c r="C146" s="610"/>
      <c r="D146" s="671"/>
      <c r="E146" s="669" t="s">
        <v>481</v>
      </c>
      <c r="F146" s="612"/>
      <c r="G146" s="612"/>
      <c r="H146" s="612"/>
      <c r="I146" s="613">
        <f>SUMIFS(NewData!H:H,NewData!$C:$C,$D$145,NewData!$E:$E,$E$146)</f>
        <v>44</v>
      </c>
      <c r="J146" s="613">
        <f>SUMIFS(NewData!I:I,NewData!$C:$C,$D$145,NewData!$E:$E,$E$146)</f>
        <v>513</v>
      </c>
      <c r="K146" s="613">
        <f>SUMIFS(NewData!M:M,NewData!$C:$C,$D$145,NewData!$E:$E,$E$146)</f>
        <v>0</v>
      </c>
      <c r="L146" s="613">
        <f>J146-K146</f>
        <v>513</v>
      </c>
      <c r="M146" s="614">
        <f>ROUND(G146+H146+(F146/F$6)+(I146/I$6)+(L146/L$6),2)</f>
        <v>30.33</v>
      </c>
      <c r="N146" s="615">
        <f>VLOOKUP($B146,weights,2,FALSE)</f>
        <v>1.018</v>
      </c>
      <c r="O146" s="620">
        <f>ROUND(M146*N146*$O$6,2)</f>
        <v>299142.08</v>
      </c>
      <c r="P146" s="623" t="s">
        <v>315</v>
      </c>
      <c r="Q146" s="623">
        <v>514609</v>
      </c>
      <c r="R146" s="570" t="s">
        <v>316</v>
      </c>
      <c r="S146" s="620">
        <f>Q146+O146</f>
        <v>813751.08000000007</v>
      </c>
      <c r="T146" s="623"/>
      <c r="U146" s="623"/>
      <c r="V146" s="619"/>
    </row>
    <row r="147" spans="1:22" ht="18" customHeight="1">
      <c r="A147" s="756" t="s">
        <v>487</v>
      </c>
      <c r="B147" s="610" t="s">
        <v>317</v>
      </c>
      <c r="C147" s="610"/>
      <c r="D147" s="671"/>
      <c r="E147" s="669" t="s">
        <v>488</v>
      </c>
      <c r="F147" s="612"/>
      <c r="G147" s="612"/>
      <c r="H147" s="612"/>
      <c r="I147" s="613">
        <f>SUMIFS(NewData!H:H,NewData!$C:$C,$D$145,NewData!$E:$E,$E$147)</f>
        <v>136</v>
      </c>
      <c r="J147" s="613">
        <f>SUMIFS(NewData!I:I,NewData!$C:$C,$D$145,NewData!$E:$E,$E$147)</f>
        <v>418</v>
      </c>
      <c r="K147" s="613">
        <f>SUMIFS(NewData!M:M,NewData!$C:$C,$D$145,NewData!$E:$E,$E$147)</f>
        <v>0</v>
      </c>
      <c r="L147" s="613">
        <f>J147-K147</f>
        <v>418</v>
      </c>
      <c r="M147" s="614">
        <f>ROUND(G147+H147+(F147/F$6)+(I147/I$6)+(L147/L$6),2)</f>
        <v>28.89</v>
      </c>
      <c r="N147" s="615">
        <f>VLOOKUP($B147,weights,2,FALSE)</f>
        <v>1.018</v>
      </c>
      <c r="O147" s="620">
        <f>ROUND(M147*N147*$O$6,2)</f>
        <v>284939.49</v>
      </c>
      <c r="P147" s="623" t="s">
        <v>315</v>
      </c>
      <c r="Q147" s="623">
        <v>494337</v>
      </c>
      <c r="R147" s="570" t="s">
        <v>316</v>
      </c>
      <c r="S147" s="620">
        <f>Q147+O147</f>
        <v>779276.49</v>
      </c>
      <c r="T147" s="623"/>
      <c r="U147" s="623"/>
      <c r="V147" s="619"/>
    </row>
    <row r="148" spans="1:22" ht="18" customHeight="1">
      <c r="A148" s="757" t="s">
        <v>350</v>
      </c>
      <c r="B148" s="610"/>
      <c r="C148" s="610" t="s">
        <v>318</v>
      </c>
      <c r="D148" s="671"/>
      <c r="E148" s="671"/>
      <c r="F148" s="793"/>
      <c r="G148" s="793"/>
      <c r="H148" s="793"/>
      <c r="I148" s="613">
        <f>SUM(I145:I147)</f>
        <v>1221</v>
      </c>
      <c r="J148" s="613">
        <f>SUM(J145:J147)</f>
        <v>2173</v>
      </c>
      <c r="K148" s="613">
        <f>SUM(K145:K147)</f>
        <v>0</v>
      </c>
      <c r="L148" s="613">
        <f>SUM(L145:L147)</f>
        <v>2173</v>
      </c>
      <c r="M148" s="673">
        <f>SUM(M145:M147)</f>
        <v>171.59999999999997</v>
      </c>
      <c r="N148" s="615"/>
      <c r="O148" s="618">
        <f>SUM(O145:O147)</f>
        <v>1692475.49</v>
      </c>
      <c r="P148" s="623"/>
      <c r="Q148" s="686">
        <f>SUM(Q145:Q147)</f>
        <v>1008946</v>
      </c>
      <c r="R148" s="570" t="s">
        <v>316</v>
      </c>
      <c r="S148" s="618">
        <f>SUM(S145:S147)</f>
        <v>2701421.49</v>
      </c>
      <c r="T148" s="686">
        <f>ROUND($S148,0)</f>
        <v>2701421</v>
      </c>
      <c r="U148" s="686">
        <f>ROUND($S148,0)</f>
        <v>2701421</v>
      </c>
      <c r="V148" s="619">
        <f t="shared" si="64"/>
        <v>5402842</v>
      </c>
    </row>
    <row r="149" spans="1:22" ht="18" customHeight="1">
      <c r="A149" s="758"/>
      <c r="B149" s="698"/>
      <c r="C149" s="698"/>
      <c r="D149" s="759"/>
      <c r="E149" s="759"/>
      <c r="F149" s="712"/>
      <c r="G149" s="712"/>
      <c r="H149" s="712"/>
      <c r="I149" s="712"/>
      <c r="J149" s="638"/>
      <c r="K149" s="638"/>
      <c r="L149" s="638"/>
      <c r="O149" s="619"/>
      <c r="P149" s="682"/>
      <c r="Q149" s="619"/>
      <c r="S149" s="619"/>
      <c r="T149" s="682"/>
      <c r="U149" s="682"/>
      <c r="V149" s="619"/>
    </row>
    <row r="150" spans="1:22" ht="18" customHeight="1">
      <c r="A150" s="756" t="s">
        <v>489</v>
      </c>
      <c r="B150" s="610" t="s">
        <v>320</v>
      </c>
      <c r="C150" s="610"/>
      <c r="D150" s="611" t="s">
        <v>490</v>
      </c>
      <c r="E150" s="671"/>
      <c r="F150" s="613">
        <f>VLOOKUP($D$150,collegecode,5,FALSE)</f>
        <v>8225</v>
      </c>
      <c r="G150" s="612"/>
      <c r="H150" s="612"/>
      <c r="I150" s="613">
        <f>VLOOKUP($D$150,collegecode,6,FALSE)</f>
        <v>24709</v>
      </c>
      <c r="J150" s="613">
        <f>VLOOKUP($D$150,collegecode,7,FALSE)</f>
        <v>6156</v>
      </c>
      <c r="K150" s="613">
        <f>VLOOKUP($D$150,collegecode,11,FALSE)</f>
        <v>0</v>
      </c>
      <c r="L150" s="613">
        <f>J150-K150</f>
        <v>6156</v>
      </c>
      <c r="M150" s="614">
        <f>ROUND(G150+H150+(F150/F$6)+(I150/I$6)+(L150/L$6),2)</f>
        <v>1645.71</v>
      </c>
      <c r="N150" s="615">
        <f>VLOOKUP($B150,weights,2,FALSE)</f>
        <v>1</v>
      </c>
      <c r="O150" s="616">
        <f>ROUND(M150*N150*$O$6,2)</f>
        <v>15944490.109999999</v>
      </c>
      <c r="P150" s="623" t="s">
        <v>315</v>
      </c>
      <c r="Q150" s="616">
        <v>0</v>
      </c>
      <c r="R150" s="570" t="s">
        <v>316</v>
      </c>
      <c r="S150" s="616">
        <f>Q150+O150</f>
        <v>15944490.109999999</v>
      </c>
      <c r="T150" s="623"/>
      <c r="U150" s="623"/>
      <c r="V150" s="619"/>
    </row>
    <row r="151" spans="1:22" ht="18" customHeight="1">
      <c r="A151" s="756" t="s">
        <v>491</v>
      </c>
      <c r="B151" s="610" t="s">
        <v>320</v>
      </c>
      <c r="C151" s="610"/>
      <c r="D151" s="671"/>
      <c r="E151" s="669" t="s">
        <v>481</v>
      </c>
      <c r="F151" s="612"/>
      <c r="G151" s="612"/>
      <c r="H151" s="612"/>
      <c r="I151" s="613">
        <f>SUMIFS(NewData!H:H,NewData!$C:$C,$D$150,NewData!$E:$E,$E$151)</f>
        <v>1460</v>
      </c>
      <c r="J151" s="613">
        <f>SUMIFS(NewData!I:I,NewData!$C:$C,$D$150,NewData!$E:$E,$E$151)</f>
        <v>0</v>
      </c>
      <c r="K151" s="613">
        <f>SUMIFS(NewData!M:M,NewData!$C:$C,$D$150,NewData!$E:$E,$E$151)</f>
        <v>0</v>
      </c>
      <c r="L151" s="613">
        <f>J151-K151</f>
        <v>0</v>
      </c>
      <c r="M151" s="614">
        <f>ROUND(G151+H151+(F151/F$6)+(I151/I$6)+(L151/L$6),2)</f>
        <v>60.83</v>
      </c>
      <c r="N151" s="615">
        <f>VLOOKUP($B151,weights,2,FALSE)</f>
        <v>1</v>
      </c>
      <c r="O151" s="620">
        <f>ROUND(M151*N151*$O$6,2)</f>
        <v>589352.52</v>
      </c>
      <c r="P151" s="623" t="s">
        <v>315</v>
      </c>
      <c r="Q151" s="623">
        <v>846571</v>
      </c>
      <c r="R151" s="570" t="s">
        <v>316</v>
      </c>
      <c r="S151" s="620">
        <f>Q151+O151</f>
        <v>1435923.52</v>
      </c>
      <c r="T151" s="623"/>
      <c r="U151" s="623"/>
      <c r="V151" s="619"/>
    </row>
    <row r="152" spans="1:22" ht="18" customHeight="1">
      <c r="A152" s="756" t="s">
        <v>492</v>
      </c>
      <c r="B152" s="610" t="s">
        <v>320</v>
      </c>
      <c r="C152" s="610"/>
      <c r="D152" s="671"/>
      <c r="E152" s="669" t="s">
        <v>493</v>
      </c>
      <c r="F152" s="612"/>
      <c r="G152" s="612"/>
      <c r="H152" s="612"/>
      <c r="I152" s="613">
        <f>SUMIFS(NewData!H:H,NewData!$C:$C,$D$150,NewData!$E:$E,$E$152)</f>
        <v>7368</v>
      </c>
      <c r="J152" s="613">
        <f>SUMIFS(NewData!I:I,NewData!$C:$C,$D$150,NewData!$E:$E,$E$152)</f>
        <v>0</v>
      </c>
      <c r="K152" s="613">
        <f>SUMIFS(NewData!M:M,NewData!$C:$C,$D$150,NewData!$E:$E,$E$152)</f>
        <v>0</v>
      </c>
      <c r="L152" s="613">
        <f>J152-K152</f>
        <v>0</v>
      </c>
      <c r="M152" s="614">
        <f>ROUND(G152+H152+(F152/F$6)+(I152/I$6)+(L152/L$6),2)</f>
        <v>307</v>
      </c>
      <c r="N152" s="615">
        <f>VLOOKUP($B152,weights,2,FALSE)</f>
        <v>1</v>
      </c>
      <c r="O152" s="620">
        <f>ROUND(M152*N152*$O$6,2)</f>
        <v>2974374.87</v>
      </c>
      <c r="P152" s="623" t="s">
        <v>315</v>
      </c>
      <c r="Q152" s="623">
        <v>0</v>
      </c>
      <c r="R152" s="570" t="s">
        <v>316</v>
      </c>
      <c r="S152" s="620">
        <f>Q152+O152</f>
        <v>2974374.87</v>
      </c>
      <c r="T152" s="623"/>
      <c r="U152" s="623"/>
      <c r="V152" s="619"/>
    </row>
    <row r="153" spans="1:22" ht="18" customHeight="1">
      <c r="A153" s="756" t="s">
        <v>494</v>
      </c>
      <c r="B153" s="610" t="s">
        <v>320</v>
      </c>
      <c r="C153" s="610"/>
      <c r="D153" s="671"/>
      <c r="E153" s="669" t="s">
        <v>483</v>
      </c>
      <c r="F153" s="612"/>
      <c r="G153" s="612"/>
      <c r="H153" s="612"/>
      <c r="I153" s="613">
        <f>SUMIFS(NewData!H:H,NewData!$C:$C,$D$150,NewData!$E:$E,$E$153)</f>
        <v>1538</v>
      </c>
      <c r="J153" s="613">
        <f>SUMIFS(NewData!I:I,NewData!$C:$C,$D$150,NewData!$E:$E,$E$153)</f>
        <v>0</v>
      </c>
      <c r="K153" s="613">
        <f>SUMIFS(NewData!M:M,NewData!$C:$C,$D$150,NewData!$E:$E,$E$153)</f>
        <v>0</v>
      </c>
      <c r="L153" s="613">
        <f>J153-K153</f>
        <v>0</v>
      </c>
      <c r="M153" s="614">
        <f>ROUND(G153+H153+(F153/F$6)+(I153/I$6)+(L153/L$6),2)</f>
        <v>64.08</v>
      </c>
      <c r="N153" s="615">
        <f>VLOOKUP($B153,weights,2,FALSE)</f>
        <v>1</v>
      </c>
      <c r="O153" s="620">
        <f>ROUND(M153*N153*$O$6,2)</f>
        <v>620840.19999999995</v>
      </c>
      <c r="P153" s="623" t="s">
        <v>315</v>
      </c>
      <c r="Q153" s="623">
        <v>870975</v>
      </c>
      <c r="R153" s="570" t="s">
        <v>316</v>
      </c>
      <c r="S153" s="620">
        <f>Q153+O153</f>
        <v>1491815.2</v>
      </c>
      <c r="T153" s="623"/>
      <c r="U153" s="623"/>
      <c r="V153" s="619"/>
    </row>
    <row r="154" spans="1:22" ht="18" customHeight="1">
      <c r="A154" s="757" t="s">
        <v>400</v>
      </c>
      <c r="B154" s="610"/>
      <c r="C154" s="610" t="s">
        <v>321</v>
      </c>
      <c r="D154" s="671"/>
      <c r="E154" s="671"/>
      <c r="F154" s="613">
        <f>SUM(F150:F153)</f>
        <v>8225</v>
      </c>
      <c r="G154" s="793"/>
      <c r="H154" s="793"/>
      <c r="I154" s="613">
        <f>SUM(I150:I153)</f>
        <v>35075</v>
      </c>
      <c r="J154" s="613">
        <f t="shared" ref="J154:L154" si="65">SUM(J150:J153)</f>
        <v>6156</v>
      </c>
      <c r="K154" s="613">
        <f t="shared" si="65"/>
        <v>0</v>
      </c>
      <c r="L154" s="613">
        <f t="shared" si="65"/>
        <v>6156</v>
      </c>
      <c r="M154" s="673">
        <f>SUM(M150:M153)</f>
        <v>2077.62</v>
      </c>
      <c r="N154" s="615"/>
      <c r="O154" s="618">
        <f>SUM(O150:O153)</f>
        <v>20129057.699999999</v>
      </c>
      <c r="P154" s="623"/>
      <c r="Q154" s="686">
        <f>SUM(Q150:Q153)</f>
        <v>1717546</v>
      </c>
      <c r="R154" s="570" t="s">
        <v>316</v>
      </c>
      <c r="S154" s="618">
        <f>SUM(S150:S153)</f>
        <v>21846603.699999999</v>
      </c>
      <c r="T154" s="686">
        <f>ROUND($S154,0)</f>
        <v>21846604</v>
      </c>
      <c r="U154" s="686">
        <f>ROUND($S154,0)</f>
        <v>21846604</v>
      </c>
      <c r="V154" s="619">
        <f t="shared" si="64"/>
        <v>43693208</v>
      </c>
    </row>
    <row r="155" spans="1:22" ht="18" customHeight="1">
      <c r="A155" s="796"/>
      <c r="F155" s="638"/>
      <c r="G155" s="638"/>
      <c r="H155" s="638"/>
      <c r="I155" s="638"/>
      <c r="J155" s="638"/>
      <c r="K155" s="638"/>
      <c r="L155" s="638"/>
      <c r="O155" s="682"/>
      <c r="P155" s="682"/>
      <c r="Q155" s="682"/>
      <c r="S155" s="682"/>
      <c r="T155" s="682"/>
      <c r="U155" s="682"/>
      <c r="V155" s="619"/>
    </row>
    <row r="156" spans="1:22" ht="18" hidden="1" customHeight="1">
      <c r="A156" s="797"/>
      <c r="F156" s="638"/>
      <c r="G156" s="638"/>
      <c r="H156" s="638"/>
      <c r="I156" s="571">
        <f>I151/I6</f>
        <v>60.833333333333336</v>
      </c>
      <c r="J156" s="638"/>
      <c r="K156" s="638"/>
      <c r="L156" s="638">
        <f>L151/L6</f>
        <v>0</v>
      </c>
      <c r="M156" s="571">
        <f>L156+I156</f>
        <v>60.833333333333336</v>
      </c>
      <c r="O156" s="755">
        <f>(I154/24)*N150*O6+I157+I159</f>
        <v>15876910.61317604</v>
      </c>
      <c r="P156" s="682"/>
      <c r="Q156" s="753"/>
      <c r="S156" s="752"/>
      <c r="T156" s="798"/>
      <c r="U156" s="798"/>
      <c r="V156" s="619"/>
    </row>
    <row r="157" spans="1:22" ht="18" hidden="1" customHeight="1">
      <c r="A157" s="797"/>
      <c r="F157" s="638"/>
      <c r="G157" s="638"/>
      <c r="H157" s="638"/>
      <c r="I157" s="638">
        <f>ROUND(I156/M156*Q151,0)</f>
        <v>846571</v>
      </c>
      <c r="J157" s="638"/>
      <c r="K157" s="638"/>
      <c r="L157" s="638">
        <f>Q151-I157</f>
        <v>0</v>
      </c>
      <c r="M157" s="547"/>
      <c r="O157" s="752"/>
      <c r="P157" s="682"/>
      <c r="Q157" s="619">
        <f>L157+I157</f>
        <v>846571</v>
      </c>
      <c r="S157" s="752"/>
      <c r="T157" s="798"/>
      <c r="U157" s="798"/>
      <c r="V157" s="619"/>
    </row>
    <row r="158" spans="1:22" ht="18" hidden="1" customHeight="1">
      <c r="A158" s="797"/>
      <c r="F158" s="638"/>
      <c r="G158" s="638"/>
      <c r="H158" s="638"/>
      <c r="I158" s="571">
        <f>I153/I6</f>
        <v>64.083333333333329</v>
      </c>
      <c r="J158" s="638"/>
      <c r="K158" s="638"/>
      <c r="L158" s="638">
        <f>L153/L6</f>
        <v>0</v>
      </c>
      <c r="M158" s="571">
        <f>L158+I158</f>
        <v>64.083333333333329</v>
      </c>
      <c r="O158" s="752"/>
      <c r="P158" s="682"/>
      <c r="Q158" s="619"/>
      <c r="S158" s="752"/>
      <c r="T158" s="798"/>
      <c r="U158" s="798"/>
      <c r="V158" s="619"/>
    </row>
    <row r="159" spans="1:22" ht="18" hidden="1" customHeight="1">
      <c r="A159" s="797"/>
      <c r="F159" s="638"/>
      <c r="G159" s="638"/>
      <c r="H159" s="638"/>
      <c r="I159" s="638">
        <f>ROUND(I158/M158*Q153,0)</f>
        <v>870975</v>
      </c>
      <c r="J159" s="638"/>
      <c r="K159" s="638"/>
      <c r="L159" s="638">
        <f>Q153-I159</f>
        <v>0</v>
      </c>
      <c r="M159" s="547"/>
      <c r="O159" s="752"/>
      <c r="P159" s="682"/>
      <c r="Q159" s="619">
        <f>L159+I159</f>
        <v>870975</v>
      </c>
      <c r="S159" s="752"/>
      <c r="T159" s="798"/>
      <c r="U159" s="798"/>
      <c r="V159" s="619"/>
    </row>
    <row r="160" spans="1:22" ht="18" customHeight="1">
      <c r="A160" s="796"/>
      <c r="F160" s="638"/>
      <c r="G160" s="638"/>
      <c r="H160" s="638"/>
      <c r="I160" s="638"/>
      <c r="J160" s="638"/>
      <c r="K160" s="638"/>
      <c r="L160" s="638"/>
      <c r="O160" s="682"/>
      <c r="P160" s="682"/>
      <c r="Q160" s="682"/>
      <c r="S160" s="682"/>
      <c r="T160" s="682"/>
      <c r="U160" s="682"/>
      <c r="V160" s="619"/>
    </row>
    <row r="161" spans="1:22" ht="18" customHeight="1">
      <c r="A161" s="756" t="s">
        <v>495</v>
      </c>
      <c r="B161" s="610" t="s">
        <v>331</v>
      </c>
      <c r="C161" s="610"/>
      <c r="D161" s="611" t="s">
        <v>496</v>
      </c>
      <c r="E161" s="671"/>
      <c r="F161" s="613">
        <f>VLOOKUP($D$161,collegecode,5,FALSE)</f>
        <v>35742</v>
      </c>
      <c r="G161" s="612"/>
      <c r="H161" s="612"/>
      <c r="I161" s="613">
        <f>VLOOKUP($D$161,collegecode,6,FALSE)</f>
        <v>9770</v>
      </c>
      <c r="J161" s="613">
        <f>VLOOKUP($D$161,collegecode,7,FALSE)</f>
        <v>1898</v>
      </c>
      <c r="K161" s="613">
        <f>VLOOKUP($D$161,collegecode,11,FALSE)</f>
        <v>0</v>
      </c>
      <c r="L161" s="613">
        <f>J161-K161</f>
        <v>1898</v>
      </c>
      <c r="M161" s="614">
        <f>ROUND(G161+H161+(F161/F$6)+(I161/I$6)+(L161/L$6),2)</f>
        <v>1703.93</v>
      </c>
      <c r="N161" s="615">
        <f>VLOOKUP($B161,weights,2,FALSE)</f>
        <v>1.1379999999999999</v>
      </c>
      <c r="O161" s="616">
        <f>ROUND(M161*N161*$O$6,2)</f>
        <v>18786736.27</v>
      </c>
      <c r="P161" s="623" t="s">
        <v>315</v>
      </c>
      <c r="Q161" s="686"/>
      <c r="R161" s="570" t="s">
        <v>316</v>
      </c>
      <c r="S161" s="616">
        <f>Q161+O161</f>
        <v>18786736.27</v>
      </c>
      <c r="T161" s="623"/>
      <c r="U161" s="623"/>
      <c r="V161" s="619"/>
    </row>
    <row r="162" spans="1:22" ht="18" customHeight="1">
      <c r="A162" s="756" t="s">
        <v>497</v>
      </c>
      <c r="B162" s="610" t="s">
        <v>331</v>
      </c>
      <c r="C162" s="610"/>
      <c r="D162" s="671"/>
      <c r="E162" s="669" t="s">
        <v>488</v>
      </c>
      <c r="F162" s="613">
        <f>SUMIFS(NewData!G:G,NewData!$C:$C,$D$161,NewData!$E:$E,$E$162)</f>
        <v>7814</v>
      </c>
      <c r="G162" s="612"/>
      <c r="H162" s="612"/>
      <c r="I162" s="613">
        <f>SUMIFS(NewData!H:H,NewData!$C:$C,$D$161,NewData!$E:$E,$E$162)</f>
        <v>0</v>
      </c>
      <c r="J162" s="613">
        <f>SUMIFS(NewData!I:I,NewData!$C:$C,$D$161,NewData!$E:$E,$E$162)</f>
        <v>0</v>
      </c>
      <c r="K162" s="613">
        <f>SUMIFS(NewData!M:M,NewData!$C:$C,$D$161,NewData!$E:$E,$E$162)</f>
        <v>0</v>
      </c>
      <c r="L162" s="613">
        <f>J162-K162</f>
        <v>0</v>
      </c>
      <c r="M162" s="614">
        <f>ROUND(G162+H162+(F162/F$6)+(I162/I$6)+(L162/L$6),2)</f>
        <v>260.47000000000003</v>
      </c>
      <c r="N162" s="615">
        <f>VLOOKUP($B162,weights,2,FALSE)</f>
        <v>1.1379999999999999</v>
      </c>
      <c r="O162" s="620">
        <f>ROUND(M162*N162*$O$6,2)</f>
        <v>2871820.55</v>
      </c>
      <c r="P162" s="623" t="s">
        <v>315</v>
      </c>
      <c r="Q162" s="623">
        <v>0</v>
      </c>
      <c r="R162" s="570" t="s">
        <v>316</v>
      </c>
      <c r="S162" s="620">
        <f>Q162+O162</f>
        <v>2871820.55</v>
      </c>
      <c r="T162" s="623"/>
      <c r="U162" s="623"/>
      <c r="V162" s="619"/>
    </row>
    <row r="163" spans="1:22" ht="18" customHeight="1">
      <c r="A163" s="756" t="s">
        <v>498</v>
      </c>
      <c r="B163" s="610" t="s">
        <v>331</v>
      </c>
      <c r="C163" s="610"/>
      <c r="D163" s="671"/>
      <c r="E163" s="669" t="s">
        <v>483</v>
      </c>
      <c r="F163" s="613">
        <f>SUMIFS(NewData!G:G,NewData!$C:$C,$D$161,NewData!$E:$E,$E$163)</f>
        <v>2221</v>
      </c>
      <c r="G163" s="612"/>
      <c r="H163" s="612"/>
      <c r="I163" s="613">
        <f>SUMIFS(NewData!H:H,NewData!$C:$C,$D$161,NewData!$E:$E,$E$163)</f>
        <v>0</v>
      </c>
      <c r="J163" s="613">
        <f>SUMIFS(NewData!I:I,NewData!$C:$C,$D$161,NewData!$E:$E,$E$163)</f>
        <v>0</v>
      </c>
      <c r="K163" s="613">
        <f>SUMIFS(NewData!M:M,NewData!$C:$C,$D$161,NewData!$E:$E,$E$163)</f>
        <v>0</v>
      </c>
      <c r="L163" s="613">
        <f>J163-K163</f>
        <v>0</v>
      </c>
      <c r="M163" s="614">
        <f>ROUND(G163+H163+(F163/F$6)+(I163/I$6)+(L163/L$6),2)</f>
        <v>74.03</v>
      </c>
      <c r="N163" s="615">
        <f>VLOOKUP($B163,weights,2,FALSE)</f>
        <v>1.1379999999999999</v>
      </c>
      <c r="O163" s="620">
        <f>ROUND(M163*N163*$O$6,2)</f>
        <v>816220.2</v>
      </c>
      <c r="P163" s="623" t="s">
        <v>315</v>
      </c>
      <c r="Q163" s="623">
        <v>932556</v>
      </c>
      <c r="R163" s="570" t="s">
        <v>316</v>
      </c>
      <c r="S163" s="620">
        <f>Q163+O163</f>
        <v>1748776.2</v>
      </c>
      <c r="T163" s="623"/>
      <c r="U163" s="623"/>
      <c r="V163" s="619"/>
    </row>
    <row r="164" spans="1:22" ht="18" customHeight="1">
      <c r="A164" s="756" t="s">
        <v>499</v>
      </c>
      <c r="B164" s="610" t="s">
        <v>331</v>
      </c>
      <c r="C164" s="610"/>
      <c r="D164" s="671"/>
      <c r="E164" s="703" t="s">
        <v>481</v>
      </c>
      <c r="F164" s="613">
        <f>SUMIFS(NewData!G:G,NewData!$C:$C,$D$161,NewData!$E:$E,$E$164)</f>
        <v>2272</v>
      </c>
      <c r="G164" s="612"/>
      <c r="H164" s="612"/>
      <c r="I164" s="612"/>
      <c r="J164" s="612"/>
      <c r="K164" s="612"/>
      <c r="L164" s="613">
        <f>J164-K164</f>
        <v>0</v>
      </c>
      <c r="M164" s="614">
        <f>ROUND(G164+H164+(F164/F$6)+(I164/I$6)+(L164/L$6),2)</f>
        <v>75.73</v>
      </c>
      <c r="N164" s="615">
        <f>VLOOKUP($B164,weights,2,FALSE)</f>
        <v>1.1379999999999999</v>
      </c>
      <c r="O164" s="620">
        <f>ROUND(M164*N164*$O$6,2)</f>
        <v>834963.61</v>
      </c>
      <c r="P164" s="623" t="s">
        <v>315</v>
      </c>
      <c r="Q164" s="623">
        <v>941097</v>
      </c>
      <c r="R164" s="570" t="s">
        <v>316</v>
      </c>
      <c r="S164" s="620">
        <f>Q164+O164</f>
        <v>1776060.6099999999</v>
      </c>
      <c r="T164" s="623"/>
      <c r="U164" s="623"/>
      <c r="V164" s="619"/>
    </row>
    <row r="165" spans="1:22" ht="18" customHeight="1">
      <c r="A165" s="757" t="s">
        <v>363</v>
      </c>
      <c r="B165" s="610"/>
      <c r="C165" s="610" t="s">
        <v>332</v>
      </c>
      <c r="D165" s="671"/>
      <c r="E165" s="671"/>
      <c r="F165" s="613">
        <f>SUM(F161:F164)</f>
        <v>48049</v>
      </c>
      <c r="G165" s="612"/>
      <c r="H165" s="612"/>
      <c r="I165" s="613">
        <f>SUM(I161:I164)</f>
        <v>9770</v>
      </c>
      <c r="J165" s="613">
        <f>SUM(J161:J164)</f>
        <v>1898</v>
      </c>
      <c r="K165" s="613">
        <f>SUM(K161:K164)</f>
        <v>0</v>
      </c>
      <c r="L165" s="613">
        <f t="shared" ref="L165" si="66">SUM(L161:L164)</f>
        <v>1898</v>
      </c>
      <c r="M165" s="673">
        <f>SUM(M161:M164)</f>
        <v>2114.16</v>
      </c>
      <c r="N165" s="615"/>
      <c r="O165" s="618">
        <f>SUM(O161:O164)</f>
        <v>23309740.629999999</v>
      </c>
      <c r="P165" s="623"/>
      <c r="Q165" s="686">
        <f>SUM(Q161:Q164)</f>
        <v>1873653</v>
      </c>
      <c r="R165" s="570" t="s">
        <v>316</v>
      </c>
      <c r="S165" s="618">
        <f>SUM(S161:S164)</f>
        <v>25183393.629999999</v>
      </c>
      <c r="T165" s="686">
        <f>ROUND($S165,0)</f>
        <v>25183394</v>
      </c>
      <c r="U165" s="686">
        <f>ROUND($S165,0)</f>
        <v>25183394</v>
      </c>
      <c r="V165" s="619">
        <f t="shared" si="64"/>
        <v>50366788</v>
      </c>
    </row>
    <row r="166" spans="1:22" ht="18" customHeight="1">
      <c r="O166" s="682"/>
      <c r="P166" s="682"/>
      <c r="Q166" s="682"/>
      <c r="S166" s="682"/>
      <c r="T166" s="682"/>
      <c r="U166" s="682"/>
      <c r="V166" s="619"/>
    </row>
    <row r="167" spans="1:22" ht="18" customHeight="1">
      <c r="A167" s="683" t="s">
        <v>500</v>
      </c>
      <c r="B167" s="610" t="s">
        <v>449</v>
      </c>
      <c r="C167" s="610"/>
      <c r="D167" s="611" t="s">
        <v>501</v>
      </c>
      <c r="E167" s="671"/>
      <c r="F167" s="612"/>
      <c r="G167" s="612"/>
      <c r="H167" s="612"/>
      <c r="I167" s="613">
        <f>VLOOKUP($D$167,collegecode,6,FALSE)</f>
        <v>1105</v>
      </c>
      <c r="J167" s="613">
        <f>VLOOKUP($D$167,collegecode,7,FALSE)</f>
        <v>0</v>
      </c>
      <c r="K167" s="613">
        <f>VLOOKUP($D$167,collegecode,11,FALSE)</f>
        <v>0</v>
      </c>
      <c r="L167" s="613">
        <f>J167-K167</f>
        <v>0</v>
      </c>
      <c r="M167" s="614">
        <f>ROUND(G167+H167+(F167/F$6)+(I167/I$6)+(L167/L$6),2)</f>
        <v>46.04</v>
      </c>
      <c r="N167" s="615">
        <f>VLOOKUP($B167,weights,2,FALSE)</f>
        <v>1.67</v>
      </c>
      <c r="O167" s="616">
        <f>ROUND(M167*N167*$O$6,2)</f>
        <v>744919.11</v>
      </c>
      <c r="P167" s="623" t="s">
        <v>315</v>
      </c>
      <c r="Q167" s="617"/>
      <c r="R167" s="570" t="s">
        <v>316</v>
      </c>
      <c r="S167" s="616">
        <f>Q167+O167</f>
        <v>744919.11</v>
      </c>
      <c r="T167" s="623"/>
      <c r="U167" s="623"/>
      <c r="V167" s="619"/>
    </row>
    <row r="168" spans="1:22" ht="18" customHeight="1">
      <c r="A168" s="683" t="s">
        <v>502</v>
      </c>
      <c r="B168" s="610" t="s">
        <v>449</v>
      </c>
      <c r="C168" s="610"/>
      <c r="D168" s="671"/>
      <c r="E168" s="669" t="s">
        <v>481</v>
      </c>
      <c r="F168" s="612"/>
      <c r="G168" s="612"/>
      <c r="H168" s="612"/>
      <c r="I168" s="613">
        <f>SUMIFS(NewData!H:H,NewData!$C:$C,$D$167,NewData!$E:$E,$E$168)</f>
        <v>4457</v>
      </c>
      <c r="J168" s="613">
        <f>SUMIFS(NewData!I:I,NewData!$C:$C,$D$167,NewData!$E:$E,$E$168)</f>
        <v>0</v>
      </c>
      <c r="K168" s="613">
        <f>SUMIFS(NewData!M:M,NewData!$C:$C,$D$167,NewData!$E:$E,$E$168)</f>
        <v>0</v>
      </c>
      <c r="L168" s="613">
        <f>J168-K168</f>
        <v>0</v>
      </c>
      <c r="M168" s="614">
        <f>ROUND(G168+H168+(F168/F$6)+(I168/I$6)+(L168/L$6),2)</f>
        <v>185.71</v>
      </c>
      <c r="N168" s="615">
        <f>VLOOKUP($B168,weights,2,FALSE)</f>
        <v>1.67</v>
      </c>
      <c r="O168" s="620">
        <f>ROUND(M168*N168*$O$6,2)</f>
        <v>3004755.15</v>
      </c>
      <c r="P168" s="623" t="s">
        <v>315</v>
      </c>
      <c r="Q168" s="623">
        <v>265380</v>
      </c>
      <c r="R168" s="570" t="s">
        <v>316</v>
      </c>
      <c r="S168" s="620">
        <f>Q168+O168</f>
        <v>3270135.15</v>
      </c>
      <c r="T168" s="623"/>
      <c r="U168" s="623"/>
      <c r="V168" s="619"/>
    </row>
    <row r="169" spans="1:22" ht="18" customHeight="1">
      <c r="A169" s="683" t="s">
        <v>503</v>
      </c>
      <c r="B169" s="610" t="s">
        <v>449</v>
      </c>
      <c r="C169" s="610"/>
      <c r="D169" s="671"/>
      <c r="E169" s="669" t="s">
        <v>488</v>
      </c>
      <c r="F169" s="612"/>
      <c r="G169" s="612"/>
      <c r="H169" s="612"/>
      <c r="I169" s="613">
        <f>SUMIFS(NewData!H:H,NewData!$C:$C,$D$167,NewData!$E:$E,$E$169)</f>
        <v>3556</v>
      </c>
      <c r="J169" s="613">
        <f>SUMIFS(NewData!I:I,NewData!$C:$C,$D$167,NewData!$E:$E,$E$169)</f>
        <v>0</v>
      </c>
      <c r="K169" s="613">
        <f>SUMIFS(NewData!M:M,NewData!$C:$C,$D$167,NewData!$E:$E,$E$169)</f>
        <v>0</v>
      </c>
      <c r="L169" s="613">
        <f>J169-K169</f>
        <v>0</v>
      </c>
      <c r="M169" s="614">
        <f>ROUND(G169+H169+(F169/F$6)+(I169/I$6)+(L169/L$6),2)</f>
        <v>148.16999999999999</v>
      </c>
      <c r="N169" s="615">
        <f>VLOOKUP($B169,weights,2,FALSE)</f>
        <v>1.67</v>
      </c>
      <c r="O169" s="620">
        <f>ROUND(M169*N169*$O$6,2)</f>
        <v>2397364.5499999998</v>
      </c>
      <c r="P169" s="623" t="s">
        <v>315</v>
      </c>
      <c r="Q169" s="623">
        <v>767965</v>
      </c>
      <c r="R169" s="570" t="s">
        <v>316</v>
      </c>
      <c r="S169" s="620">
        <f>Q169+O169</f>
        <v>3165329.55</v>
      </c>
      <c r="T169" s="623"/>
      <c r="U169" s="623"/>
      <c r="V169" s="619"/>
    </row>
    <row r="170" spans="1:22" ht="18" customHeight="1">
      <c r="A170" s="683" t="s">
        <v>504</v>
      </c>
      <c r="B170" s="610" t="s">
        <v>449</v>
      </c>
      <c r="C170" s="610"/>
      <c r="D170" s="671"/>
      <c r="E170" s="669" t="s">
        <v>505</v>
      </c>
      <c r="F170" s="612"/>
      <c r="G170" s="612"/>
      <c r="H170" s="612"/>
      <c r="I170" s="613">
        <f>SUMIFS(NewData!H:H,NewData!$C:$C,$D$167,NewData!$E:$E,$E$170)</f>
        <v>9867</v>
      </c>
      <c r="J170" s="613">
        <f>SUMIFS(NewData!I:I,NewData!$C:$C,$D$167,NewData!$E:$E,$E$170)</f>
        <v>0</v>
      </c>
      <c r="K170" s="613">
        <f>SUMIFS(NewData!M:M,NewData!$C:$C,$D$167,NewData!$E:$E,$E$170)</f>
        <v>0</v>
      </c>
      <c r="L170" s="613">
        <f>J170-K170</f>
        <v>0</v>
      </c>
      <c r="M170" s="614">
        <f>ROUND(G170+H170+(F170/F$6)+(I170/I$6)+(L170/L$6),2)</f>
        <v>411.13</v>
      </c>
      <c r="N170" s="615">
        <f>VLOOKUP($B170,weights,2,FALSE)</f>
        <v>1.67</v>
      </c>
      <c r="O170" s="620">
        <f>ROUND(M170*N170*$O$6,2)</f>
        <v>6652011.1200000001</v>
      </c>
      <c r="P170" s="623" t="s">
        <v>315</v>
      </c>
      <c r="Q170" s="623">
        <v>0</v>
      </c>
      <c r="R170" s="570" t="s">
        <v>316</v>
      </c>
      <c r="S170" s="620">
        <f>Q170+O170</f>
        <v>6652011.1200000001</v>
      </c>
      <c r="T170" s="623"/>
      <c r="U170" s="623"/>
      <c r="V170" s="619"/>
    </row>
    <row r="171" spans="1:22" ht="18" customHeight="1">
      <c r="A171" s="691" t="s">
        <v>453</v>
      </c>
      <c r="B171" s="610"/>
      <c r="C171" s="610" t="s">
        <v>454</v>
      </c>
      <c r="D171" s="671"/>
      <c r="E171" s="671"/>
      <c r="F171" s="793"/>
      <c r="G171" s="793"/>
      <c r="H171" s="793"/>
      <c r="I171" s="613">
        <f>SUM(I167:I170)</f>
        <v>18985</v>
      </c>
      <c r="J171" s="793"/>
      <c r="K171" s="793"/>
      <c r="L171" s="613">
        <f>SUM(L167:L170)</f>
        <v>0</v>
      </c>
      <c r="M171" s="673">
        <f>SUM(M167:M170)</f>
        <v>791.05</v>
      </c>
      <c r="N171" s="615"/>
      <c r="O171" s="618">
        <f>SUM(O167:O170)</f>
        <v>12799049.93</v>
      </c>
      <c r="P171" s="623"/>
      <c r="Q171" s="686">
        <f>SUM(Q167:Q170)</f>
        <v>1033345</v>
      </c>
      <c r="R171" s="570" t="s">
        <v>316</v>
      </c>
      <c r="S171" s="618">
        <f>SUM(S167:S170)</f>
        <v>13832394.93</v>
      </c>
      <c r="T171" s="686">
        <f>ROUND($S171,0)</f>
        <v>13832395</v>
      </c>
      <c r="U171" s="686">
        <f>ROUND($S171,0)</f>
        <v>13832395</v>
      </c>
      <c r="V171" s="619">
        <f t="shared" si="64"/>
        <v>27664790</v>
      </c>
    </row>
    <row r="172" spans="1:22" ht="18" customHeight="1">
      <c r="A172" s="799"/>
      <c r="F172" s="638"/>
      <c r="G172" s="638"/>
      <c r="H172" s="638"/>
      <c r="I172" s="638"/>
      <c r="J172" s="638"/>
      <c r="K172" s="638"/>
      <c r="L172" s="638"/>
      <c r="M172" s="800"/>
      <c r="O172" s="752"/>
      <c r="P172" s="682"/>
      <c r="Q172" s="753"/>
      <c r="S172" s="752"/>
      <c r="T172" s="682"/>
      <c r="U172" s="682"/>
      <c r="V172" s="619"/>
    </row>
    <row r="173" spans="1:22" ht="18" customHeight="1">
      <c r="A173" s="791" t="s">
        <v>506</v>
      </c>
      <c r="B173" s="610" t="s">
        <v>335</v>
      </c>
      <c r="C173" s="610"/>
      <c r="D173" s="611" t="s">
        <v>507</v>
      </c>
      <c r="E173" s="671"/>
      <c r="F173" s="612"/>
      <c r="G173" s="612"/>
      <c r="H173" s="612"/>
      <c r="I173" s="613">
        <f>VLOOKUP($D$173,collegecode,6,FALSE)</f>
        <v>3160</v>
      </c>
      <c r="J173" s="613">
        <f>VLOOKUP($D$173,collegecode,7,FALSE)</f>
        <v>0</v>
      </c>
      <c r="K173" s="613">
        <f>VLOOKUP($D$173,collegecode,11,FALSE)</f>
        <v>0</v>
      </c>
      <c r="L173" s="613">
        <f>J173-K173</f>
        <v>0</v>
      </c>
      <c r="M173" s="614">
        <f>ROUND(G173+H173+(F173/F$6)+(I173/I$6)+(L173/L$6),2)</f>
        <v>131.66999999999999</v>
      </c>
      <c r="N173" s="615">
        <f>VLOOKUP($B173,weights,2,FALSE)</f>
        <v>1.7210000000000001</v>
      </c>
      <c r="O173" s="620">
        <f>ROUND(M173*N173*$O$6,2)</f>
        <v>2195457.4900000002</v>
      </c>
      <c r="P173" s="623" t="s">
        <v>315</v>
      </c>
      <c r="Q173" s="621">
        <v>0</v>
      </c>
      <c r="R173" s="570" t="s">
        <v>316</v>
      </c>
      <c r="S173" s="620">
        <f>Q173+O173</f>
        <v>2195457.4900000002</v>
      </c>
      <c r="T173" s="623"/>
      <c r="U173" s="623"/>
      <c r="V173" s="619"/>
    </row>
    <row r="174" spans="1:22" ht="18" customHeight="1">
      <c r="A174" s="791" t="s">
        <v>508</v>
      </c>
      <c r="B174" s="610" t="s">
        <v>335</v>
      </c>
      <c r="C174" s="610"/>
      <c r="D174" s="671"/>
      <c r="E174" s="669" t="s">
        <v>481</v>
      </c>
      <c r="F174" s="612"/>
      <c r="G174" s="612"/>
      <c r="H174" s="612"/>
      <c r="I174" s="613">
        <f>SUMIFS(NewData!H:H,NewData!$C:$C,$D$173,NewData!$E:$E,$E$174)</f>
        <v>0</v>
      </c>
      <c r="J174" s="613">
        <f>SUMIFS(NewData!I:I,NewData!$C:$C,$D$173,NewData!$E:$E,$E$174)</f>
        <v>0</v>
      </c>
      <c r="K174" s="613">
        <f>SUMIFS(NewData!M:M,NewData!$C:$C,$D$173,NewData!$E:$E,$E$174)</f>
        <v>0</v>
      </c>
      <c r="L174" s="613">
        <f>J174-K174</f>
        <v>0</v>
      </c>
      <c r="M174" s="614">
        <f>ROUND(G174+H174+(F174/F$6)+(I174/I$6)+(L174/L$6),2)</f>
        <v>0</v>
      </c>
      <c r="N174" s="615">
        <f>VLOOKUP($B174,weights,2,FALSE)</f>
        <v>1.7210000000000001</v>
      </c>
      <c r="O174" s="620">
        <f>ROUND(M174*N174*$O$6,2)</f>
        <v>0</v>
      </c>
      <c r="P174" s="623" t="s">
        <v>315</v>
      </c>
      <c r="Q174" s="623">
        <v>0</v>
      </c>
      <c r="R174" s="570" t="s">
        <v>316</v>
      </c>
      <c r="S174" s="620">
        <f>Q174+O174</f>
        <v>0</v>
      </c>
      <c r="T174" s="623"/>
      <c r="U174" s="623"/>
      <c r="V174" s="619"/>
    </row>
    <row r="175" spans="1:22" ht="18" customHeight="1">
      <c r="A175" s="791" t="s">
        <v>509</v>
      </c>
      <c r="B175" s="610" t="s">
        <v>335</v>
      </c>
      <c r="C175" s="610"/>
      <c r="D175" s="671"/>
      <c r="E175" s="713" t="s">
        <v>488</v>
      </c>
      <c r="F175" s="612"/>
      <c r="G175" s="612"/>
      <c r="H175" s="612"/>
      <c r="I175" s="613">
        <f>SUMIFS(NewData!H:H,NewData!$C:$C,$D$173,NewData!$E:$E,$E$175)</f>
        <v>93</v>
      </c>
      <c r="J175" s="613">
        <f>SUMIFS(NewData!I:I,NewData!$C:$C,$D$173,NewData!$E:$E,$E$175)</f>
        <v>0</v>
      </c>
      <c r="K175" s="613">
        <f>SUMIFS(NewData!M:M,NewData!$C:$C,$D$173,NewData!$E:$E,$E$175)</f>
        <v>0</v>
      </c>
      <c r="L175" s="613">
        <f>J175-K175</f>
        <v>0</v>
      </c>
      <c r="M175" s="614">
        <f>ROUND(G175+H175+(F175/F$6)+(I175/I$6)+(L175/L$6),2)</f>
        <v>3.88</v>
      </c>
      <c r="N175" s="615">
        <f>VLOOKUP($B175,weights,2,FALSE)</f>
        <v>1.7210000000000001</v>
      </c>
      <c r="O175" s="620">
        <f>ROUND(M175*N175*$O$6,2)</f>
        <v>64694.879999999997</v>
      </c>
      <c r="P175" s="623" t="s">
        <v>315</v>
      </c>
      <c r="Q175" s="682">
        <v>76095</v>
      </c>
      <c r="R175" s="570" t="s">
        <v>316</v>
      </c>
      <c r="S175" s="620">
        <f>Q175+O175</f>
        <v>140789.88</v>
      </c>
      <c r="T175" s="623"/>
      <c r="U175" s="623"/>
      <c r="V175" s="619"/>
    </row>
    <row r="176" spans="1:22" ht="18" customHeight="1" thickBot="1">
      <c r="A176" s="691" t="s">
        <v>375</v>
      </c>
      <c r="B176" s="610"/>
      <c r="C176" s="610" t="s">
        <v>336</v>
      </c>
      <c r="D176" s="671"/>
      <c r="E176" s="801"/>
      <c r="F176" s="612"/>
      <c r="G176" s="612"/>
      <c r="H176" s="612"/>
      <c r="I176" s="613">
        <f>SUM(I173:I175)</f>
        <v>3253</v>
      </c>
      <c r="J176" s="613">
        <f>SUM(J173:J175)</f>
        <v>0</v>
      </c>
      <c r="K176" s="613">
        <f>SUM(K173:K175)</f>
        <v>0</v>
      </c>
      <c r="L176" s="613">
        <f>SUM(L173:L175)</f>
        <v>0</v>
      </c>
      <c r="M176" s="785">
        <f>SUM(M173:M175)</f>
        <v>135.54999999999998</v>
      </c>
      <c r="N176" s="615"/>
      <c r="O176" s="620">
        <f>SUM(O173:O175)</f>
        <v>2260152.37</v>
      </c>
      <c r="P176" s="623"/>
      <c r="Q176" s="620">
        <f>SUM(Q173:Q175)</f>
        <v>76095</v>
      </c>
      <c r="R176" s="570"/>
      <c r="S176" s="622">
        <f>SUM(S173:S175)</f>
        <v>2336247.37</v>
      </c>
      <c r="T176" s="686">
        <f>ROUND($S176,0)</f>
        <v>2336247</v>
      </c>
      <c r="U176" s="686">
        <f>ROUND($S176,0)</f>
        <v>2336247</v>
      </c>
      <c r="V176" s="619">
        <f t="shared" si="64"/>
        <v>4672494</v>
      </c>
    </row>
    <row r="177" spans="1:22" s="575" customFormat="1" ht="18" customHeight="1" thickBot="1">
      <c r="A177" s="802" t="s">
        <v>510</v>
      </c>
      <c r="B177" s="721" t="s">
        <v>324</v>
      </c>
      <c r="C177" s="803" t="s">
        <v>511</v>
      </c>
      <c r="D177" s="804"/>
      <c r="E177" s="804"/>
      <c r="F177" s="723">
        <f t="shared" ref="F177:O177" si="67">F171+F165+F154+F148+F143+F176</f>
        <v>56274</v>
      </c>
      <c r="G177" s="723">
        <f t="shared" si="67"/>
        <v>714</v>
      </c>
      <c r="H177" s="723">
        <f t="shared" si="67"/>
        <v>0</v>
      </c>
      <c r="I177" s="723">
        <f t="shared" si="67"/>
        <v>68304</v>
      </c>
      <c r="J177" s="723">
        <f t="shared" si="67"/>
        <v>10227</v>
      </c>
      <c r="K177" s="723">
        <f t="shared" si="67"/>
        <v>0</v>
      </c>
      <c r="L177" s="724">
        <f t="shared" si="67"/>
        <v>10227</v>
      </c>
      <c r="M177" s="630">
        <f t="shared" si="67"/>
        <v>6003.9800000000005</v>
      </c>
      <c r="N177" s="725">
        <f t="shared" si="67"/>
        <v>0</v>
      </c>
      <c r="O177" s="723">
        <f t="shared" si="67"/>
        <v>93069835.960000008</v>
      </c>
      <c r="P177" s="723"/>
      <c r="Q177" s="723">
        <f>Q171+Q165+Q154+Q148+Q143+Q176</f>
        <v>8253435</v>
      </c>
      <c r="R177" s="723"/>
      <c r="S177" s="723">
        <f>S171+S165+S154+S148+S143+S176</f>
        <v>101323270.96000001</v>
      </c>
      <c r="T177" s="637">
        <f>ROUND($S177,0)</f>
        <v>101323271</v>
      </c>
      <c r="U177" s="637">
        <f>ROUND($S177,0)</f>
        <v>101323271</v>
      </c>
      <c r="V177" s="619">
        <f t="shared" si="64"/>
        <v>202646542</v>
      </c>
    </row>
    <row r="178" spans="1:22" ht="18" customHeight="1">
      <c r="A178" s="726"/>
      <c r="F178" s="638"/>
      <c r="G178" s="638"/>
      <c r="H178" s="638"/>
      <c r="I178" s="638"/>
      <c r="J178" s="638"/>
      <c r="K178" s="638"/>
      <c r="L178" s="638"/>
      <c r="M178" s="571" t="str">
        <f>IF(M177=NewData!Q69,"","Error")</f>
        <v/>
      </c>
      <c r="O178" s="752"/>
      <c r="P178" s="563"/>
      <c r="Q178" s="753"/>
      <c r="S178" s="755"/>
      <c r="T178" s="619"/>
      <c r="U178" s="619"/>
      <c r="V178" s="619"/>
    </row>
    <row r="179" spans="1:22" ht="18" customHeight="1">
      <c r="F179" s="638"/>
      <c r="G179" s="638"/>
      <c r="H179" s="638"/>
      <c r="I179" s="638"/>
      <c r="J179" s="638"/>
      <c r="K179" s="638"/>
      <c r="L179" s="638"/>
      <c r="O179" s="639"/>
      <c r="V179" s="619"/>
    </row>
    <row r="180" spans="1:22" ht="18" customHeight="1">
      <c r="A180" s="605" t="s">
        <v>512</v>
      </c>
      <c r="B180" s="606"/>
      <c r="C180" s="606"/>
      <c r="D180" s="641"/>
      <c r="E180" s="641"/>
      <c r="F180" s="642"/>
      <c r="G180" s="642"/>
      <c r="H180" s="642"/>
      <c r="I180" s="642"/>
      <c r="J180" s="638"/>
      <c r="K180" s="638"/>
      <c r="L180" s="638"/>
      <c r="O180" s="639"/>
      <c r="V180" s="619"/>
    </row>
    <row r="181" spans="1:22" ht="18" customHeight="1">
      <c r="A181" s="756" t="s">
        <v>513</v>
      </c>
      <c r="B181" s="610" t="s">
        <v>312</v>
      </c>
      <c r="C181" s="610"/>
      <c r="D181" s="611" t="s">
        <v>514</v>
      </c>
      <c r="E181" s="671"/>
      <c r="F181" s="612"/>
      <c r="G181" s="613">
        <f>VLOOKUP(D181,collegecode,8,FALSE)</f>
        <v>449</v>
      </c>
      <c r="H181" s="612"/>
      <c r="I181" s="612"/>
      <c r="J181" s="612"/>
      <c r="K181" s="612"/>
      <c r="L181" s="613">
        <f>J181-K181</f>
        <v>0</v>
      </c>
      <c r="M181" s="614">
        <f>ROUND(G181+H181+(F181/F$6)+(I181/I$6)+(L181/L$6),2)</f>
        <v>449</v>
      </c>
      <c r="N181" s="615">
        <f>VLOOKUP($B181,weights,2,FALSE)</f>
        <v>4.7530000000000001</v>
      </c>
      <c r="O181" s="620">
        <f>ROUND(M181*N181*$O$6,2)</f>
        <v>20676236.09</v>
      </c>
      <c r="P181" s="623" t="s">
        <v>315</v>
      </c>
      <c r="Q181" s="623"/>
      <c r="R181" s="570" t="s">
        <v>316</v>
      </c>
      <c r="S181" s="620">
        <f>Q181+O181</f>
        <v>20676236.09</v>
      </c>
      <c r="T181" s="623"/>
      <c r="U181" s="623"/>
      <c r="V181" s="619"/>
    </row>
    <row r="182" spans="1:22" ht="18" customHeight="1">
      <c r="A182" s="757" t="s">
        <v>429</v>
      </c>
      <c r="B182" s="610"/>
      <c r="C182" s="610" t="s">
        <v>313</v>
      </c>
      <c r="D182" s="671"/>
      <c r="E182" s="671"/>
      <c r="F182" s="793"/>
      <c r="G182" s="613">
        <f>SUM(G181:G181)</f>
        <v>449</v>
      </c>
      <c r="H182" s="793"/>
      <c r="I182" s="793"/>
      <c r="J182" s="793"/>
      <c r="K182" s="793"/>
      <c r="L182" s="613">
        <f>SUM(L181:L181)</f>
        <v>0</v>
      </c>
      <c r="M182" s="673">
        <f>SUM(M181:M181)</f>
        <v>449</v>
      </c>
      <c r="N182" s="615"/>
      <c r="O182" s="618">
        <f>SUM(O181:O181)</f>
        <v>20676236.09</v>
      </c>
      <c r="P182" s="623"/>
      <c r="Q182" s="686">
        <f>SUM(Q181:Q181)</f>
        <v>0</v>
      </c>
      <c r="R182" s="570"/>
      <c r="S182" s="618">
        <f>SUM(S181:S181)</f>
        <v>20676236.09</v>
      </c>
      <c r="T182" s="686">
        <f>ROUND($S182,0)</f>
        <v>20676236</v>
      </c>
      <c r="U182" s="686">
        <f>ROUND($S182,0)</f>
        <v>20676236</v>
      </c>
      <c r="V182" s="619">
        <f t="shared" si="64"/>
        <v>41352472</v>
      </c>
    </row>
    <row r="183" spans="1:22" ht="18" customHeight="1">
      <c r="A183" s="794"/>
      <c r="F183" s="638"/>
      <c r="G183" s="638"/>
      <c r="H183" s="638"/>
      <c r="I183" s="638"/>
      <c r="J183" s="638"/>
      <c r="K183" s="638"/>
      <c r="L183" s="638"/>
      <c r="O183" s="682"/>
      <c r="P183" s="682"/>
      <c r="Q183" s="682"/>
      <c r="S183" s="682"/>
      <c r="T183" s="682"/>
      <c r="U183" s="682"/>
      <c r="V183" s="619"/>
    </row>
    <row r="184" spans="1:22" ht="18" customHeight="1">
      <c r="A184" s="756" t="s">
        <v>515</v>
      </c>
      <c r="B184" s="610" t="s">
        <v>317</v>
      </c>
      <c r="C184" s="610"/>
      <c r="D184" s="611" t="s">
        <v>516</v>
      </c>
      <c r="E184" s="671"/>
      <c r="F184" s="612"/>
      <c r="G184" s="612"/>
      <c r="H184" s="612"/>
      <c r="I184" s="613">
        <f>VLOOKUP($D$184,collegecode,6,FALSE)</f>
        <v>819</v>
      </c>
      <c r="J184" s="613">
        <f>VLOOKUP($D$184,collegecode,7,FALSE)</f>
        <v>0</v>
      </c>
      <c r="K184" s="613">
        <f>VLOOKUP($D$184,collegecode,11,FALSE)</f>
        <v>0</v>
      </c>
      <c r="L184" s="613">
        <f>J184-K184</f>
        <v>0</v>
      </c>
      <c r="M184" s="614">
        <f>ROUND(G184+H184+(F184/F$6)+(I184/I$6)+(L184/L$6),2)</f>
        <v>34.130000000000003</v>
      </c>
      <c r="N184" s="615">
        <f>VLOOKUP($B184,weights,2,FALSE)</f>
        <v>1.018</v>
      </c>
      <c r="O184" s="620">
        <f>ROUND(M184*N184*$O$6,2)</f>
        <v>336621.15</v>
      </c>
      <c r="P184" s="623" t="s">
        <v>315</v>
      </c>
      <c r="Q184" s="623"/>
      <c r="R184" s="570" t="s">
        <v>316</v>
      </c>
      <c r="S184" s="620">
        <f>Q184+O184</f>
        <v>336621.15</v>
      </c>
      <c r="T184" s="623"/>
      <c r="U184" s="623"/>
      <c r="V184" s="619"/>
    </row>
    <row r="185" spans="1:22" ht="18" customHeight="1">
      <c r="A185" s="757" t="s">
        <v>350</v>
      </c>
      <c r="B185" s="610"/>
      <c r="C185" s="610" t="s">
        <v>318</v>
      </c>
      <c r="D185" s="671"/>
      <c r="E185" s="671"/>
      <c r="F185" s="793"/>
      <c r="G185" s="793"/>
      <c r="H185" s="793"/>
      <c r="I185" s="613">
        <f>SUM(I184:I184)</f>
        <v>819</v>
      </c>
      <c r="J185" s="613">
        <f>SUM(J184:J184)</f>
        <v>0</v>
      </c>
      <c r="K185" s="613">
        <f>SUM(K184:K184)</f>
        <v>0</v>
      </c>
      <c r="L185" s="613">
        <f>SUM(L184:L184)</f>
        <v>0</v>
      </c>
      <c r="M185" s="673">
        <f>SUM(M184:M184)</f>
        <v>34.130000000000003</v>
      </c>
      <c r="N185" s="615"/>
      <c r="O185" s="618">
        <f>SUM(O184:O184)</f>
        <v>336621.15</v>
      </c>
      <c r="P185" s="623"/>
      <c r="Q185" s="686">
        <f>SUM(Q184:Q184)</f>
        <v>0</v>
      </c>
      <c r="R185" s="570" t="s">
        <v>316</v>
      </c>
      <c r="S185" s="618">
        <f>SUM(S184:S184)</f>
        <v>336621.15</v>
      </c>
      <c r="T185" s="621">
        <f>ROUND($S185,0)</f>
        <v>336621</v>
      </c>
      <c r="U185" s="621">
        <f>ROUND($S185,0)</f>
        <v>336621</v>
      </c>
      <c r="V185" s="619">
        <f t="shared" si="64"/>
        <v>673242</v>
      </c>
    </row>
    <row r="186" spans="1:22" ht="18" customHeight="1">
      <c r="A186" s="758"/>
      <c r="B186" s="698"/>
      <c r="C186" s="698"/>
      <c r="D186" s="759"/>
      <c r="E186" s="759"/>
      <c r="F186" s="712"/>
      <c r="G186" s="712"/>
      <c r="H186" s="712"/>
      <c r="I186" s="712"/>
      <c r="J186" s="638"/>
      <c r="K186" s="638"/>
      <c r="L186" s="638"/>
      <c r="O186" s="619"/>
      <c r="P186" s="682"/>
      <c r="Q186" s="619"/>
      <c r="S186" s="619"/>
      <c r="T186" s="682"/>
      <c r="U186" s="682"/>
      <c r="V186" s="619"/>
    </row>
    <row r="187" spans="1:22" ht="18" customHeight="1">
      <c r="A187" s="656"/>
      <c r="B187" s="610" t="s">
        <v>320</v>
      </c>
      <c r="C187" s="610"/>
      <c r="D187" s="671"/>
      <c r="E187" s="671"/>
      <c r="F187" s="612"/>
      <c r="G187" s="612"/>
      <c r="H187" s="612"/>
      <c r="I187" s="793"/>
      <c r="J187" s="793"/>
      <c r="K187" s="793"/>
      <c r="L187" s="613">
        <f>J187-K187</f>
        <v>0</v>
      </c>
      <c r="M187" s="614">
        <f>ROUND(G187+H187+(F187/F$6)+(I187/I$6)+(L187/L$6),2)</f>
        <v>0</v>
      </c>
      <c r="N187" s="615">
        <f>VLOOKUP($B187,weights,2,FALSE)</f>
        <v>1</v>
      </c>
      <c r="O187" s="620">
        <f>ROUND(M187*N187*$O$6,2)</f>
        <v>0</v>
      </c>
      <c r="P187" s="623" t="s">
        <v>315</v>
      </c>
      <c r="Q187" s="623"/>
      <c r="R187" s="570" t="s">
        <v>316</v>
      </c>
      <c r="S187" s="620">
        <f>Q187+O187</f>
        <v>0</v>
      </c>
      <c r="T187" s="623"/>
      <c r="U187" s="623"/>
      <c r="V187" s="619"/>
    </row>
    <row r="188" spans="1:22" ht="18" customHeight="1">
      <c r="A188" s="757" t="s">
        <v>400</v>
      </c>
      <c r="B188" s="610"/>
      <c r="C188" s="610" t="s">
        <v>321</v>
      </c>
      <c r="D188" s="671"/>
      <c r="E188" s="671"/>
      <c r="F188" s="793"/>
      <c r="G188" s="793"/>
      <c r="H188" s="793"/>
      <c r="I188" s="793"/>
      <c r="J188" s="793"/>
      <c r="K188" s="793"/>
      <c r="L188" s="613">
        <f>SUM(L187:L187)</f>
        <v>0</v>
      </c>
      <c r="M188" s="673">
        <f>SUM(M187:M187)</f>
        <v>0</v>
      </c>
      <c r="N188" s="615"/>
      <c r="O188" s="618">
        <f>SUM(O187:O187)</f>
        <v>0</v>
      </c>
      <c r="P188" s="623"/>
      <c r="Q188" s="686">
        <f>SUM(Q187:Q187)</f>
        <v>0</v>
      </c>
      <c r="R188" s="570" t="s">
        <v>316</v>
      </c>
      <c r="S188" s="618">
        <f>SUM(S187:S187)</f>
        <v>0</v>
      </c>
      <c r="T188" s="623">
        <f>ROUND($S188,0)</f>
        <v>0</v>
      </c>
      <c r="U188" s="623">
        <f>ROUND($S188,0)</f>
        <v>0</v>
      </c>
      <c r="V188" s="619"/>
    </row>
    <row r="189" spans="1:22" ht="18" customHeight="1">
      <c r="A189" s="796"/>
      <c r="F189" s="638"/>
      <c r="G189" s="638"/>
      <c r="H189" s="638"/>
      <c r="I189" s="638"/>
      <c r="J189" s="638"/>
      <c r="K189" s="638"/>
      <c r="L189" s="638"/>
      <c r="O189" s="682"/>
      <c r="P189" s="682"/>
      <c r="Q189" s="682"/>
      <c r="S189" s="682"/>
      <c r="T189" s="682"/>
      <c r="U189" s="682"/>
      <c r="V189" s="619"/>
    </row>
    <row r="190" spans="1:22" ht="18" customHeight="1">
      <c r="A190" s="756" t="s">
        <v>517</v>
      </c>
      <c r="B190" s="610" t="s">
        <v>331</v>
      </c>
      <c r="C190" s="610"/>
      <c r="D190" s="611" t="s">
        <v>518</v>
      </c>
      <c r="E190" s="805"/>
      <c r="F190" s="613">
        <f>VLOOKUP($D$190,collegecode,5,FALSE)</f>
        <v>9657</v>
      </c>
      <c r="G190" s="793"/>
      <c r="H190" s="793"/>
      <c r="I190" s="613">
        <f>VLOOKUP($D$190,collegecode,6,FALSE)</f>
        <v>42</v>
      </c>
      <c r="J190" s="613">
        <f>VLOOKUP($D$190,collegecode,7,FALSE)</f>
        <v>0</v>
      </c>
      <c r="K190" s="613">
        <f>VLOOKUP($D$190,collegecode,11,FALSE)</f>
        <v>0</v>
      </c>
      <c r="L190" s="613">
        <f>J190-K190</f>
        <v>0</v>
      </c>
      <c r="M190" s="614">
        <f>ROUND(G190+H190+(F190/F$6)+(I190/I$6)+(L190/L$6),2)</f>
        <v>323.64999999999998</v>
      </c>
      <c r="N190" s="615">
        <f>VLOOKUP($B190,weights,2,FALSE)</f>
        <v>1.1379999999999999</v>
      </c>
      <c r="O190" s="620">
        <f>ROUND(M190*N190*$O$6,2)</f>
        <v>3568413.72</v>
      </c>
      <c r="P190" s="623" t="s">
        <v>315</v>
      </c>
      <c r="Q190" s="621"/>
      <c r="R190" s="570" t="s">
        <v>316</v>
      </c>
      <c r="S190" s="620">
        <f>Q190+O190</f>
        <v>3568413.72</v>
      </c>
      <c r="T190" s="623"/>
      <c r="U190" s="623"/>
      <c r="V190" s="619"/>
    </row>
    <row r="191" spans="1:22" ht="18" customHeight="1">
      <c r="A191" s="757" t="s">
        <v>363</v>
      </c>
      <c r="B191" s="610"/>
      <c r="C191" s="610" t="s">
        <v>332</v>
      </c>
      <c r="D191" s="671"/>
      <c r="E191" s="671"/>
      <c r="F191" s="613">
        <f>SUM(F190:F190)</f>
        <v>9657</v>
      </c>
      <c r="G191" s="793"/>
      <c r="H191" s="793"/>
      <c r="I191" s="613">
        <f t="shared" ref="I191:K191" si="68">SUM(I190:I190)</f>
        <v>42</v>
      </c>
      <c r="J191" s="613">
        <f t="shared" si="68"/>
        <v>0</v>
      </c>
      <c r="K191" s="613">
        <f t="shared" si="68"/>
        <v>0</v>
      </c>
      <c r="L191" s="613">
        <f>SUM(L190:L190)</f>
        <v>0</v>
      </c>
      <c r="M191" s="673">
        <f>SUM(M190:M190)</f>
        <v>323.64999999999998</v>
      </c>
      <c r="N191" s="615"/>
      <c r="O191" s="618">
        <f>SUM(O190:O190)</f>
        <v>3568413.72</v>
      </c>
      <c r="P191" s="623"/>
      <c r="Q191" s="686">
        <f>SUM(Q190:Q190)</f>
        <v>0</v>
      </c>
      <c r="R191" s="570" t="s">
        <v>316</v>
      </c>
      <c r="S191" s="618">
        <f>SUM(S190:S190)</f>
        <v>3568413.72</v>
      </c>
      <c r="T191" s="621">
        <f>ROUND($S191,0)</f>
        <v>3568414</v>
      </c>
      <c r="U191" s="621">
        <f t="shared" ref="U191" si="69">ROUND($S191,0)</f>
        <v>3568414</v>
      </c>
      <c r="V191" s="619">
        <f t="shared" si="64"/>
        <v>7136828</v>
      </c>
    </row>
    <row r="192" spans="1:22" ht="18" customHeight="1">
      <c r="C192" s="678"/>
      <c r="O192" s="682"/>
      <c r="P192" s="682"/>
      <c r="Q192" s="682"/>
      <c r="S192" s="682"/>
      <c r="T192" s="682"/>
      <c r="U192" s="682"/>
      <c r="V192" s="619"/>
    </row>
    <row r="193" spans="1:22" ht="18" customHeight="1">
      <c r="A193" s="683" t="s">
        <v>246</v>
      </c>
      <c r="B193" s="610" t="s">
        <v>342</v>
      </c>
      <c r="C193" s="610"/>
      <c r="D193" s="611" t="s">
        <v>519</v>
      </c>
      <c r="E193" s="671"/>
      <c r="F193" s="612"/>
      <c r="G193" s="613">
        <f>VLOOKUP($D$193,collegecode,8,FALSE)</f>
        <v>101</v>
      </c>
      <c r="H193" s="613">
        <f>VLOOKUP(D193,collegecode,9,FALSE)</f>
        <v>0</v>
      </c>
      <c r="I193" s="612"/>
      <c r="J193" s="612"/>
      <c r="K193" s="612"/>
      <c r="L193" s="613">
        <v>0</v>
      </c>
      <c r="M193" s="614">
        <f>ROUND(G193+H193+(F193/F$6)+(I193/I$6)+(L193/L$6),2)</f>
        <v>101</v>
      </c>
      <c r="N193" s="615">
        <f>VLOOKUP($B193,weights,2,FALSE)</f>
        <v>4.601</v>
      </c>
      <c r="O193" s="620">
        <f>ROUND(M193*N193*$O$6,2)</f>
        <v>4502263.76</v>
      </c>
      <c r="P193" s="623" t="s">
        <v>315</v>
      </c>
      <c r="Q193" s="623"/>
      <c r="R193" s="570" t="s">
        <v>316</v>
      </c>
      <c r="S193" s="620">
        <f>Q193+O193</f>
        <v>4502263.76</v>
      </c>
      <c r="T193" s="623"/>
      <c r="U193" s="623"/>
      <c r="V193" s="619"/>
    </row>
    <row r="194" spans="1:22" ht="18" customHeight="1" thickBot="1">
      <c r="A194" s="691" t="s">
        <v>520</v>
      </c>
      <c r="B194" s="610"/>
      <c r="C194" s="610" t="s">
        <v>343</v>
      </c>
      <c r="D194" s="671"/>
      <c r="E194" s="671"/>
      <c r="F194" s="793">
        <f>SUM(F193)</f>
        <v>0</v>
      </c>
      <c r="G194" s="613">
        <f>SUM(G193)</f>
        <v>101</v>
      </c>
      <c r="H194" s="793">
        <f t="shared" ref="H194:K194" si="70">SUM(H193)</f>
        <v>0</v>
      </c>
      <c r="I194" s="793">
        <f t="shared" si="70"/>
        <v>0</v>
      </c>
      <c r="J194" s="793">
        <f t="shared" si="70"/>
        <v>0</v>
      </c>
      <c r="K194" s="793">
        <f t="shared" si="70"/>
        <v>0</v>
      </c>
      <c r="L194" s="613">
        <v>0</v>
      </c>
      <c r="M194" s="785">
        <f>SUM(M193:M193)</f>
        <v>101</v>
      </c>
      <c r="N194" s="615"/>
      <c r="O194" s="618">
        <f>SUM(O193:O193)</f>
        <v>4502263.76</v>
      </c>
      <c r="P194" s="623"/>
      <c r="Q194" s="686">
        <f>SUM(Q193:Q193)</f>
        <v>0</v>
      </c>
      <c r="R194" s="570" t="s">
        <v>316</v>
      </c>
      <c r="S194" s="618">
        <f>SUM(S193:S193)</f>
        <v>4502263.76</v>
      </c>
      <c r="T194" s="621">
        <f>ROUND($S194,0)</f>
        <v>4502264</v>
      </c>
      <c r="U194" s="621">
        <f>ROUND($S194,0)</f>
        <v>4502264</v>
      </c>
      <c r="V194" s="619">
        <f t="shared" si="64"/>
        <v>9004528</v>
      </c>
    </row>
    <row r="195" spans="1:22" s="575" customFormat="1" ht="18" customHeight="1" thickBot="1">
      <c r="A195" s="802" t="s">
        <v>521</v>
      </c>
      <c r="B195" s="721" t="s">
        <v>324</v>
      </c>
      <c r="C195" s="721" t="s">
        <v>522</v>
      </c>
      <c r="D195" s="722"/>
      <c r="E195" s="722"/>
      <c r="F195" s="723">
        <f>+F191+F182+F188+F185+F194</f>
        <v>9657</v>
      </c>
      <c r="G195" s="723">
        <f t="shared" ref="G195:M195" si="71">+G191+G182+G188+G185+G194</f>
        <v>550</v>
      </c>
      <c r="H195" s="723">
        <f t="shared" si="71"/>
        <v>0</v>
      </c>
      <c r="I195" s="723">
        <f t="shared" si="71"/>
        <v>861</v>
      </c>
      <c r="J195" s="723">
        <f t="shared" si="71"/>
        <v>0</v>
      </c>
      <c r="K195" s="723">
        <f t="shared" si="71"/>
        <v>0</v>
      </c>
      <c r="L195" s="724">
        <f t="shared" si="71"/>
        <v>0</v>
      </c>
      <c r="M195" s="630">
        <f t="shared" si="71"/>
        <v>907.78</v>
      </c>
      <c r="N195" s="806"/>
      <c r="O195" s="632">
        <f>+O191+O182+O188+O185+O194</f>
        <v>29083534.719999999</v>
      </c>
      <c r="P195" s="742"/>
      <c r="Q195" s="637">
        <f>+Q191+Q182+Q188+Q185</f>
        <v>0</v>
      </c>
      <c r="R195" s="743" t="s">
        <v>316</v>
      </c>
      <c r="S195" s="632">
        <f>+S191+S182+S188+S185+S194</f>
        <v>29083534.719999999</v>
      </c>
      <c r="T195" s="637">
        <f>ROUND($S195,0)</f>
        <v>29083535</v>
      </c>
      <c r="U195" s="637">
        <f>ROUND($S195,0)</f>
        <v>29083535</v>
      </c>
      <c r="V195" s="619">
        <f t="shared" si="64"/>
        <v>58167070</v>
      </c>
    </row>
    <row r="196" spans="1:22" ht="18" customHeight="1">
      <c r="F196" s="638"/>
      <c r="G196" s="638"/>
      <c r="H196" s="638"/>
      <c r="I196" s="638"/>
      <c r="J196" s="638"/>
      <c r="K196" s="638"/>
      <c r="L196" s="638"/>
      <c r="M196" s="571" t="str">
        <f>IF(M195=NewData!Q73,"","Error")</f>
        <v/>
      </c>
      <c r="O196" s="639"/>
      <c r="V196" s="619"/>
    </row>
    <row r="197" spans="1:22" ht="18" customHeight="1">
      <c r="F197" s="638"/>
      <c r="G197" s="638"/>
      <c r="H197" s="638"/>
      <c r="I197" s="638"/>
      <c r="J197" s="638"/>
      <c r="K197" s="638"/>
      <c r="L197" s="638"/>
      <c r="O197" s="639"/>
      <c r="V197" s="619"/>
    </row>
    <row r="198" spans="1:22" ht="18" customHeight="1">
      <c r="A198" s="605" t="s">
        <v>523</v>
      </c>
      <c r="B198" s="606"/>
      <c r="C198" s="606"/>
      <c r="D198" s="641"/>
      <c r="E198" s="641"/>
      <c r="F198" s="642"/>
      <c r="G198" s="642"/>
      <c r="H198" s="642"/>
      <c r="I198" s="642"/>
      <c r="J198" s="638"/>
      <c r="K198" s="638"/>
      <c r="L198" s="638"/>
      <c r="O198" s="639"/>
      <c r="V198" s="619"/>
    </row>
    <row r="199" spans="1:22" ht="18" customHeight="1">
      <c r="A199" s="756" t="s">
        <v>524</v>
      </c>
      <c r="B199" s="610" t="s">
        <v>312</v>
      </c>
      <c r="C199" s="610"/>
      <c r="D199" s="611" t="s">
        <v>525</v>
      </c>
      <c r="E199" s="671"/>
      <c r="F199" s="612"/>
      <c r="G199" s="613">
        <f>VLOOKUP($D$199,collegecode,8,FALSE)</f>
        <v>195</v>
      </c>
      <c r="H199" s="612"/>
      <c r="I199" s="612"/>
      <c r="J199" s="612"/>
      <c r="K199" s="612"/>
      <c r="L199" s="613">
        <f>J199-K199</f>
        <v>0</v>
      </c>
      <c r="M199" s="614">
        <f>ROUND(G199+H199+(F199/F$6)+(I199/I$6)+(L199/L$6),2)</f>
        <v>195</v>
      </c>
      <c r="N199" s="615">
        <f>VLOOKUP($B199,weights,2,FALSE)</f>
        <v>4.7530000000000001</v>
      </c>
      <c r="O199" s="616">
        <f>ROUND(M199*N199*$O$6,2)</f>
        <v>8979657.0999999996</v>
      </c>
      <c r="P199" s="623" t="s">
        <v>315</v>
      </c>
      <c r="Q199" s="617"/>
      <c r="R199" s="570" t="s">
        <v>316</v>
      </c>
      <c r="S199" s="616">
        <f>Q199+O199</f>
        <v>8979657.0999999996</v>
      </c>
      <c r="T199" s="623"/>
      <c r="U199" s="623"/>
      <c r="V199" s="619"/>
    </row>
    <row r="200" spans="1:22" ht="18" customHeight="1">
      <c r="A200" s="757" t="s">
        <v>429</v>
      </c>
      <c r="B200" s="610"/>
      <c r="C200" s="610" t="s">
        <v>313</v>
      </c>
      <c r="D200" s="671"/>
      <c r="E200" s="671"/>
      <c r="F200" s="793"/>
      <c r="G200" s="613">
        <f>SUM(G199:G199)</f>
        <v>195</v>
      </c>
      <c r="H200" s="793"/>
      <c r="I200" s="793"/>
      <c r="J200" s="793"/>
      <c r="K200" s="793"/>
      <c r="L200" s="613">
        <f>SUM(L199:L199)</f>
        <v>0</v>
      </c>
      <c r="M200" s="673">
        <f>SUM(M199:M199)</f>
        <v>195</v>
      </c>
      <c r="N200" s="615"/>
      <c r="O200" s="618">
        <f>SUM(O199:O199)</f>
        <v>8979657.0999999996</v>
      </c>
      <c r="P200" s="623"/>
      <c r="Q200" s="686">
        <f>SUM(Q199:Q199)</f>
        <v>0</v>
      </c>
      <c r="R200" s="570"/>
      <c r="S200" s="618">
        <f>SUM(S199:S199)</f>
        <v>8979657.0999999996</v>
      </c>
      <c r="T200" s="686">
        <f>ROUND($S200,0)</f>
        <v>8979657</v>
      </c>
      <c r="U200" s="686">
        <f>ROUND($S200,0)</f>
        <v>8979657</v>
      </c>
      <c r="V200" s="619">
        <f t="shared" si="64"/>
        <v>17959314</v>
      </c>
    </row>
    <row r="201" spans="1:22" ht="18" hidden="1" customHeight="1" outlineLevel="1">
      <c r="A201" s="794"/>
      <c r="F201" s="638"/>
      <c r="G201" s="638"/>
      <c r="H201" s="638"/>
      <c r="I201" s="638"/>
      <c r="J201" s="638"/>
      <c r="K201" s="638"/>
      <c r="L201" s="638"/>
      <c r="O201" s="682"/>
      <c r="P201" s="682"/>
      <c r="Q201" s="682"/>
      <c r="S201" s="682"/>
      <c r="T201" s="682"/>
      <c r="U201" s="682"/>
      <c r="V201" s="619">
        <f t="shared" si="64"/>
        <v>0</v>
      </c>
    </row>
    <row r="202" spans="1:22" ht="18" hidden="1" customHeight="1" outlineLevel="1">
      <c r="A202" s="758" t="s">
        <v>526</v>
      </c>
      <c r="B202" s="547" t="s">
        <v>317</v>
      </c>
      <c r="F202" s="648"/>
      <c r="G202" s="648"/>
      <c r="H202" s="648"/>
      <c r="I202" s="638"/>
      <c r="J202" s="638"/>
      <c r="K202" s="638"/>
      <c r="L202" s="638">
        <f>J202-K202</f>
        <v>0</v>
      </c>
      <c r="M202" s="571">
        <f>ROUND(G202+H202+(F202/F$6)+(I202/I$6)+(L202/L$6),2)</f>
        <v>0</v>
      </c>
      <c r="N202" s="577">
        <f>VLOOKUP($B202,weights,2,FALSE)</f>
        <v>1.018</v>
      </c>
      <c r="O202" s="755">
        <f>ROUND(M202*N202*$O$6,2)</f>
        <v>0</v>
      </c>
      <c r="P202" s="682" t="s">
        <v>315</v>
      </c>
      <c r="Q202" s="619"/>
      <c r="R202" s="554" t="s">
        <v>316</v>
      </c>
      <c r="S202" s="755">
        <f>Q202+O202</f>
        <v>0</v>
      </c>
      <c r="T202" s="682"/>
      <c r="U202" s="682"/>
      <c r="V202" s="619">
        <f t="shared" si="64"/>
        <v>0</v>
      </c>
    </row>
    <row r="203" spans="1:22" ht="18" hidden="1" customHeight="1" outlineLevel="1">
      <c r="A203" s="758"/>
      <c r="F203" s="648"/>
      <c r="G203" s="648"/>
      <c r="H203" s="648"/>
      <c r="I203" s="638"/>
      <c r="J203" s="638"/>
      <c r="K203" s="638"/>
      <c r="L203" s="638"/>
      <c r="O203" s="807"/>
      <c r="P203" s="682"/>
      <c r="Q203" s="682"/>
      <c r="S203" s="807"/>
      <c r="T203" s="682"/>
      <c r="U203" s="682"/>
      <c r="V203" s="619">
        <f t="shared" si="64"/>
        <v>0</v>
      </c>
    </row>
    <row r="204" spans="1:22" ht="18" hidden="1" customHeight="1" outlineLevel="1">
      <c r="A204" s="757" t="s">
        <v>350</v>
      </c>
      <c r="B204" s="610"/>
      <c r="C204" s="610" t="s">
        <v>318</v>
      </c>
      <c r="D204" s="671"/>
      <c r="E204" s="671"/>
      <c r="F204" s="793"/>
      <c r="G204" s="793"/>
      <c r="H204" s="793"/>
      <c r="I204" s="613">
        <f>SUM(I202:I203)</f>
        <v>0</v>
      </c>
      <c r="J204" s="613">
        <f>SUM(J202:J203)</f>
        <v>0</v>
      </c>
      <c r="K204" s="613">
        <f>SUM(K202:K203)</f>
        <v>0</v>
      </c>
      <c r="L204" s="613">
        <f>SUM(L202:L203)</f>
        <v>0</v>
      </c>
      <c r="M204" s="673">
        <f>SUM(M202:M203)</f>
        <v>0</v>
      </c>
      <c r="N204" s="615"/>
      <c r="O204" s="618">
        <f>SUM(O202:O203)</f>
        <v>0</v>
      </c>
      <c r="P204" s="623"/>
      <c r="Q204" s="686">
        <f>SUM(Q202:Q203)</f>
        <v>0</v>
      </c>
      <c r="R204" s="570" t="s">
        <v>316</v>
      </c>
      <c r="S204" s="618">
        <f>SUM(S202:S203)</f>
        <v>0</v>
      </c>
      <c r="T204" s="623">
        <f>ROUND($S204,0)</f>
        <v>0</v>
      </c>
      <c r="U204" s="623">
        <f>ROUND($S204,0)</f>
        <v>0</v>
      </c>
      <c r="V204" s="619">
        <f t="shared" si="64"/>
        <v>0</v>
      </c>
    </row>
    <row r="205" spans="1:22" ht="18" hidden="1" customHeight="1" outlineLevel="1">
      <c r="A205" s="758"/>
      <c r="B205" s="698"/>
      <c r="C205" s="698"/>
      <c r="D205" s="759"/>
      <c r="E205" s="759"/>
      <c r="F205" s="712"/>
      <c r="G205" s="712"/>
      <c r="H205" s="712"/>
      <c r="I205" s="712"/>
      <c r="J205" s="638"/>
      <c r="K205" s="638"/>
      <c r="L205" s="638"/>
      <c r="O205" s="619"/>
      <c r="P205" s="682"/>
      <c r="Q205" s="619"/>
      <c r="S205" s="619"/>
      <c r="T205" s="682"/>
      <c r="U205" s="682"/>
      <c r="V205" s="619">
        <f t="shared" si="64"/>
        <v>0</v>
      </c>
    </row>
    <row r="206" spans="1:22" ht="18" hidden="1" customHeight="1" outlineLevel="1">
      <c r="A206" s="758" t="s">
        <v>527</v>
      </c>
      <c r="B206" s="547" t="s">
        <v>320</v>
      </c>
      <c r="F206" s="638"/>
      <c r="G206" s="648"/>
      <c r="H206" s="648"/>
      <c r="I206" s="638"/>
      <c r="J206" s="638"/>
      <c r="K206" s="638">
        <v>0</v>
      </c>
      <c r="L206" s="638">
        <f>J206-K206</f>
        <v>0</v>
      </c>
      <c r="M206" s="571">
        <f>ROUND(G206+H206+(F206/F$6)+(I206/I$6)+(L206/L$6),2)</f>
        <v>0</v>
      </c>
      <c r="N206" s="577">
        <f>VLOOKUP($B206,weights,2,FALSE)</f>
        <v>1</v>
      </c>
      <c r="O206" s="755">
        <f>ROUND(M206*N206*$O$6,2)</f>
        <v>0</v>
      </c>
      <c r="P206" s="682" t="s">
        <v>315</v>
      </c>
      <c r="Q206" s="755"/>
      <c r="R206" s="554" t="s">
        <v>316</v>
      </c>
      <c r="S206" s="755">
        <f>Q206+O206</f>
        <v>0</v>
      </c>
      <c r="T206" s="682"/>
      <c r="U206" s="682"/>
      <c r="V206" s="619">
        <f t="shared" si="64"/>
        <v>0</v>
      </c>
    </row>
    <row r="207" spans="1:22" ht="18" hidden="1" customHeight="1" outlineLevel="1">
      <c r="A207" s="808"/>
      <c r="B207" s="809"/>
      <c r="C207" s="809"/>
      <c r="D207" s="810"/>
      <c r="E207" s="810"/>
      <c r="F207" s="811"/>
      <c r="G207" s="811"/>
      <c r="H207" s="811"/>
      <c r="I207" s="638"/>
      <c r="J207" s="638"/>
      <c r="K207" s="638"/>
      <c r="L207" s="812"/>
      <c r="M207" s="813"/>
      <c r="N207" s="814"/>
      <c r="O207" s="807"/>
      <c r="P207" s="815"/>
      <c r="Q207" s="815"/>
      <c r="R207" s="816"/>
      <c r="S207" s="807"/>
      <c r="T207" s="815"/>
      <c r="U207" s="815"/>
      <c r="V207" s="619">
        <f t="shared" ref="V207:V270" si="72">T207+U207</f>
        <v>0</v>
      </c>
    </row>
    <row r="208" spans="1:22" ht="18" hidden="1" customHeight="1" outlineLevel="1">
      <c r="A208" s="757" t="s">
        <v>400</v>
      </c>
      <c r="B208" s="610"/>
      <c r="C208" s="610" t="s">
        <v>321</v>
      </c>
      <c r="D208" s="671"/>
      <c r="E208" s="671"/>
      <c r="F208" s="613">
        <f>SUM(F206:F207)</f>
        <v>0</v>
      </c>
      <c r="G208" s="793"/>
      <c r="H208" s="793"/>
      <c r="I208" s="613">
        <f>SUM(I206:I207)</f>
        <v>0</v>
      </c>
      <c r="J208" s="613">
        <f>SUM(J206:J207)</f>
        <v>0</v>
      </c>
      <c r="K208" s="613">
        <f>SUM(K206:K207)</f>
        <v>0</v>
      </c>
      <c r="L208" s="613">
        <f>SUM(L206:L207)</f>
        <v>0</v>
      </c>
      <c r="M208" s="673">
        <f>SUM(M206:M207)</f>
        <v>0</v>
      </c>
      <c r="N208" s="615"/>
      <c r="O208" s="618">
        <f>SUM(O206:O207)</f>
        <v>0</v>
      </c>
      <c r="P208" s="623"/>
      <c r="Q208" s="686">
        <f>SUM(Q206:Q207)</f>
        <v>0</v>
      </c>
      <c r="R208" s="570" t="s">
        <v>316</v>
      </c>
      <c r="S208" s="618">
        <f>SUM(S206:S207)</f>
        <v>0</v>
      </c>
      <c r="T208" s="623">
        <f>ROUND($S208,0)</f>
        <v>0</v>
      </c>
      <c r="U208" s="623">
        <f>ROUND($S208,0)</f>
        <v>0</v>
      </c>
      <c r="V208" s="619">
        <f t="shared" si="72"/>
        <v>0</v>
      </c>
    </row>
    <row r="209" spans="1:22" ht="18" hidden="1" customHeight="1" outlineLevel="1">
      <c r="A209" s="796"/>
      <c r="F209" s="638"/>
      <c r="G209" s="638"/>
      <c r="H209" s="638"/>
      <c r="I209" s="638"/>
      <c r="J209" s="638"/>
      <c r="K209" s="638"/>
      <c r="L209" s="638"/>
      <c r="O209" s="682"/>
      <c r="P209" s="682"/>
      <c r="Q209" s="682"/>
      <c r="S209" s="682"/>
      <c r="T209" s="682"/>
      <c r="U209" s="682"/>
      <c r="V209" s="619">
        <f t="shared" si="72"/>
        <v>0</v>
      </c>
    </row>
    <row r="210" spans="1:22" ht="18" hidden="1" customHeight="1" outlineLevel="1">
      <c r="A210" s="758" t="s">
        <v>528</v>
      </c>
      <c r="B210" s="547" t="s">
        <v>331</v>
      </c>
      <c r="F210" s="638"/>
      <c r="G210" s="648"/>
      <c r="H210" s="648"/>
      <c r="I210" s="648"/>
      <c r="J210" s="648"/>
      <c r="K210" s="648"/>
      <c r="L210" s="638">
        <f>J210-K210</f>
        <v>0</v>
      </c>
      <c r="M210" s="571">
        <f>ROUND(G210+H210+(F210/F$6)+(I210/I$6)+(L210/L$6),2)</f>
        <v>0</v>
      </c>
      <c r="N210" s="577">
        <f>VLOOKUP($B210,weights,2,FALSE)</f>
        <v>1.1379999999999999</v>
      </c>
      <c r="O210" s="755">
        <f>ROUND(M210*N210*$O$6,2)</f>
        <v>0</v>
      </c>
      <c r="P210" s="682" t="s">
        <v>315</v>
      </c>
      <c r="Q210" s="755"/>
      <c r="R210" s="554" t="s">
        <v>316</v>
      </c>
      <c r="S210" s="755">
        <f>Q210+O210</f>
        <v>0</v>
      </c>
      <c r="T210" s="682"/>
      <c r="U210" s="682"/>
      <c r="V210" s="619">
        <f t="shared" si="72"/>
        <v>0</v>
      </c>
    </row>
    <row r="211" spans="1:22" ht="18" hidden="1" customHeight="1" outlineLevel="1">
      <c r="A211" s="758"/>
      <c r="F211" s="638"/>
      <c r="G211" s="648"/>
      <c r="H211" s="648"/>
      <c r="I211" s="648"/>
      <c r="J211" s="648"/>
      <c r="K211" s="648"/>
      <c r="L211" s="638"/>
      <c r="O211" s="807"/>
      <c r="P211" s="682"/>
      <c r="Q211" s="815"/>
      <c r="S211" s="807"/>
      <c r="T211" s="682"/>
      <c r="U211" s="682"/>
      <c r="V211" s="619">
        <f t="shared" si="72"/>
        <v>0</v>
      </c>
    </row>
    <row r="212" spans="1:22" ht="18" hidden="1" customHeight="1" outlineLevel="1">
      <c r="A212" s="757" t="s">
        <v>529</v>
      </c>
      <c r="B212" s="610"/>
      <c r="C212" s="610" t="s">
        <v>332</v>
      </c>
      <c r="D212" s="671"/>
      <c r="E212" s="671"/>
      <c r="F212" s="613">
        <f>SUM(F210:F211)</f>
        <v>0</v>
      </c>
      <c r="G212" s="793"/>
      <c r="H212" s="793"/>
      <c r="I212" s="793"/>
      <c r="J212" s="793"/>
      <c r="K212" s="793"/>
      <c r="L212" s="613">
        <f>SUM(L210:L211)</f>
        <v>0</v>
      </c>
      <c r="M212" s="614">
        <f>SUM(M210:M211)</f>
        <v>0</v>
      </c>
      <c r="N212" s="615"/>
      <c r="O212" s="618">
        <f>SUM(O210:O211)</f>
        <v>0</v>
      </c>
      <c r="P212" s="623"/>
      <c r="Q212" s="686">
        <f>SUM(Q210:Q211)</f>
        <v>0</v>
      </c>
      <c r="R212" s="570" t="s">
        <v>316</v>
      </c>
      <c r="S212" s="817">
        <f>SUM(S210:S211)</f>
        <v>0</v>
      </c>
      <c r="T212" s="682"/>
      <c r="U212" s="682"/>
      <c r="V212" s="619">
        <f t="shared" si="72"/>
        <v>0</v>
      </c>
    </row>
    <row r="213" spans="1:22" ht="18" hidden="1" customHeight="1" outlineLevel="1">
      <c r="O213" s="682"/>
      <c r="P213" s="682"/>
      <c r="Q213" s="682"/>
      <c r="S213" s="682"/>
      <c r="T213" s="682"/>
      <c r="U213" s="682"/>
      <c r="V213" s="619">
        <f t="shared" si="72"/>
        <v>0</v>
      </c>
    </row>
    <row r="214" spans="1:22" ht="18" hidden="1" customHeight="1" outlineLevel="1">
      <c r="A214" s="758" t="s">
        <v>530</v>
      </c>
      <c r="B214" s="547" t="s">
        <v>531</v>
      </c>
      <c r="F214" s="648"/>
      <c r="G214" s="648"/>
      <c r="H214" s="648"/>
      <c r="I214" s="638"/>
      <c r="J214" s="638"/>
      <c r="K214" s="638">
        <v>0</v>
      </c>
      <c r="L214" s="638">
        <f>J214-K214</f>
        <v>0</v>
      </c>
      <c r="M214" s="571">
        <f>ROUND(G214+H214+(F214/F$6)+(I214/I$6)+(L214/L$6),2)</f>
        <v>0</v>
      </c>
      <c r="N214" s="577">
        <f>VLOOKUP($B214,weights,2,FALSE)</f>
        <v>1.1379999999999999</v>
      </c>
      <c r="O214" s="755">
        <f>ROUND(M214*N214*$O$6,2)</f>
        <v>0</v>
      </c>
      <c r="P214" s="682" t="s">
        <v>315</v>
      </c>
      <c r="Q214" s="682"/>
      <c r="R214" s="554" t="s">
        <v>316</v>
      </c>
      <c r="S214" s="755">
        <f>Q214+O214</f>
        <v>0</v>
      </c>
      <c r="T214" s="682"/>
      <c r="U214" s="682"/>
      <c r="V214" s="619">
        <f t="shared" si="72"/>
        <v>0</v>
      </c>
    </row>
    <row r="215" spans="1:22" ht="18" hidden="1" customHeight="1" outlineLevel="1">
      <c r="A215" s="758"/>
      <c r="F215" s="648"/>
      <c r="G215" s="648"/>
      <c r="H215" s="648"/>
      <c r="I215" s="638"/>
      <c r="J215" s="638"/>
      <c r="K215" s="638"/>
      <c r="L215" s="638"/>
      <c r="O215" s="807"/>
      <c r="P215" s="682"/>
      <c r="Q215" s="815"/>
      <c r="S215" s="807"/>
      <c r="T215" s="682"/>
      <c r="U215" s="682"/>
      <c r="V215" s="619">
        <f t="shared" si="72"/>
        <v>0</v>
      </c>
    </row>
    <row r="216" spans="1:22" ht="18" hidden="1" customHeight="1" outlineLevel="1">
      <c r="A216" s="757" t="s">
        <v>532</v>
      </c>
      <c r="B216" s="610"/>
      <c r="C216" s="610" t="s">
        <v>533</v>
      </c>
      <c r="D216" s="671"/>
      <c r="E216" s="671"/>
      <c r="F216" s="793"/>
      <c r="G216" s="793"/>
      <c r="H216" s="793"/>
      <c r="I216" s="613">
        <f>SUM(I214:I215)</f>
        <v>0</v>
      </c>
      <c r="J216" s="613">
        <f>SUM(J214:J215)</f>
        <v>0</v>
      </c>
      <c r="K216" s="613">
        <f>SUM(K214:K215)</f>
        <v>0</v>
      </c>
      <c r="L216" s="613">
        <f>SUM(L214:L215)</f>
        <v>0</v>
      </c>
      <c r="M216" s="673">
        <f>SUM(M214:M215)</f>
        <v>0</v>
      </c>
      <c r="N216" s="615"/>
      <c r="O216" s="618">
        <f>SUM(O214:O215)</f>
        <v>0</v>
      </c>
      <c r="P216" s="623"/>
      <c r="Q216" s="686">
        <f>SUM(Q214:Q215)</f>
        <v>0</v>
      </c>
      <c r="R216" s="570" t="s">
        <v>316</v>
      </c>
      <c r="S216" s="618">
        <f>SUM(S214:S215)</f>
        <v>0</v>
      </c>
      <c r="T216" s="623">
        <f>ROUND($S216+$S212,0)</f>
        <v>0</v>
      </c>
      <c r="U216" s="623">
        <f>ROUND($S216+$S212,0)</f>
        <v>0</v>
      </c>
      <c r="V216" s="619">
        <f t="shared" si="72"/>
        <v>0</v>
      </c>
    </row>
    <row r="217" spans="1:22" ht="18" hidden="1" customHeight="1" outlineLevel="1">
      <c r="A217" s="758"/>
      <c r="F217" s="712"/>
      <c r="G217" s="712"/>
      <c r="H217" s="712"/>
      <c r="I217" s="712"/>
      <c r="J217" s="638"/>
      <c r="K217" s="638"/>
      <c r="L217" s="638"/>
      <c r="O217" s="682"/>
      <c r="P217" s="682"/>
      <c r="Q217" s="682"/>
      <c r="S217" s="682"/>
      <c r="T217" s="682"/>
      <c r="U217" s="682"/>
      <c r="V217" s="619">
        <f t="shared" si="72"/>
        <v>0</v>
      </c>
    </row>
    <row r="218" spans="1:22" ht="18" hidden="1" customHeight="1" outlineLevel="1">
      <c r="A218" s="818" t="s">
        <v>534</v>
      </c>
      <c r="B218" s="547" t="s">
        <v>449</v>
      </c>
      <c r="F218" s="648"/>
      <c r="G218" s="648"/>
      <c r="H218" s="648"/>
      <c r="I218" s="638"/>
      <c r="J218" s="648"/>
      <c r="K218" s="648"/>
      <c r="L218" s="638">
        <f>J218-K218</f>
        <v>0</v>
      </c>
      <c r="M218" s="571">
        <f>ROUND(G218+H218+(F218/F$6)+(I218/I$6)+(L218/L$6),2)</f>
        <v>0</v>
      </c>
      <c r="N218" s="577">
        <f>VLOOKUP($B218,weights,2,FALSE)</f>
        <v>1.67</v>
      </c>
      <c r="O218" s="755">
        <f>ROUND(M218*N218*$O$6,2)</f>
        <v>0</v>
      </c>
      <c r="P218" s="682" t="s">
        <v>315</v>
      </c>
      <c r="Q218" s="619"/>
      <c r="R218" s="554" t="s">
        <v>316</v>
      </c>
      <c r="S218" s="755">
        <f>Q218+O218</f>
        <v>0</v>
      </c>
      <c r="T218" s="682"/>
      <c r="U218" s="682"/>
      <c r="V218" s="619">
        <f t="shared" si="72"/>
        <v>0</v>
      </c>
    </row>
    <row r="219" spans="1:22" ht="18" hidden="1" customHeight="1" outlineLevel="1">
      <c r="A219" s="818"/>
      <c r="F219" s="648"/>
      <c r="G219" s="648"/>
      <c r="H219" s="648"/>
      <c r="I219" s="638"/>
      <c r="J219" s="648"/>
      <c r="K219" s="648"/>
      <c r="L219" s="638"/>
      <c r="O219" s="807"/>
      <c r="P219" s="682"/>
      <c r="Q219" s="682"/>
      <c r="S219" s="807"/>
      <c r="T219" s="682"/>
      <c r="U219" s="682"/>
      <c r="V219" s="619">
        <f t="shared" si="72"/>
        <v>0</v>
      </c>
    </row>
    <row r="220" spans="1:22" ht="18" hidden="1" customHeight="1" outlineLevel="1">
      <c r="A220" s="691" t="s">
        <v>453</v>
      </c>
      <c r="B220" s="610"/>
      <c r="C220" s="610" t="s">
        <v>454</v>
      </c>
      <c r="D220" s="671"/>
      <c r="E220" s="671"/>
      <c r="F220" s="793"/>
      <c r="G220" s="793"/>
      <c r="H220" s="793"/>
      <c r="I220" s="613">
        <f>SUM(I218:I219)</f>
        <v>0</v>
      </c>
      <c r="J220" s="793"/>
      <c r="K220" s="793"/>
      <c r="L220" s="613">
        <f>SUM(L218:L219)</f>
        <v>0</v>
      </c>
      <c r="M220" s="673">
        <f>SUM(M218:M219)</f>
        <v>0</v>
      </c>
      <c r="N220" s="615"/>
      <c r="O220" s="618">
        <f>SUM(O218:O219)</f>
        <v>0</v>
      </c>
      <c r="P220" s="623"/>
      <c r="Q220" s="686">
        <f>SUM(Q218:Q219)</f>
        <v>0</v>
      </c>
      <c r="R220" s="570" t="s">
        <v>316</v>
      </c>
      <c r="S220" s="618">
        <f>SUM(S218:S219)</f>
        <v>0</v>
      </c>
      <c r="T220" s="623">
        <f>ROUND($S220,0)</f>
        <v>0</v>
      </c>
      <c r="U220" s="623">
        <f>ROUND($S220,0)</f>
        <v>0</v>
      </c>
      <c r="V220" s="619">
        <f t="shared" si="72"/>
        <v>0</v>
      </c>
    </row>
    <row r="221" spans="1:22" ht="18" hidden="1" customHeight="1" outlineLevel="1">
      <c r="A221" s="799"/>
      <c r="F221" s="638"/>
      <c r="G221" s="638"/>
      <c r="H221" s="638"/>
      <c r="I221" s="638"/>
      <c r="J221" s="638"/>
      <c r="K221" s="638"/>
      <c r="L221" s="638"/>
      <c r="M221" s="800"/>
      <c r="O221" s="752"/>
      <c r="P221" s="682"/>
      <c r="Q221" s="753"/>
      <c r="S221" s="752"/>
      <c r="T221" s="682"/>
      <c r="U221" s="682"/>
      <c r="V221" s="619">
        <f t="shared" si="72"/>
        <v>0</v>
      </c>
    </row>
    <row r="222" spans="1:22" ht="18" hidden="1" customHeight="1" outlineLevel="1">
      <c r="A222" s="819" t="s">
        <v>535</v>
      </c>
      <c r="B222" s="658" t="s">
        <v>335</v>
      </c>
      <c r="C222" s="678" t="s">
        <v>336</v>
      </c>
      <c r="D222" s="801"/>
      <c r="E222" s="801"/>
      <c r="F222" s="612"/>
      <c r="G222" s="612"/>
      <c r="H222" s="612"/>
      <c r="I222" s="613"/>
      <c r="J222" s="613"/>
      <c r="K222" s="613">
        <v>0</v>
      </c>
      <c r="L222" s="613">
        <f>J222-K222</f>
        <v>0</v>
      </c>
      <c r="M222" s="614">
        <f>ROUND(G222+H222+(F222/F$6)+(I222/I$6)+(L222/L$6),2)</f>
        <v>0</v>
      </c>
      <c r="N222" s="615">
        <f>VLOOKUP($B222,weights,2,FALSE)</f>
        <v>1.7210000000000001</v>
      </c>
      <c r="O222" s="620">
        <f>ROUND(M222*N222*$O$6,2)</f>
        <v>0</v>
      </c>
      <c r="P222" s="623" t="s">
        <v>315</v>
      </c>
      <c r="Q222" s="621"/>
      <c r="R222" s="570" t="s">
        <v>316</v>
      </c>
      <c r="S222" s="622">
        <f>Q222+O222</f>
        <v>0</v>
      </c>
      <c r="T222" s="623">
        <f>ROUND($S222,0)</f>
        <v>0</v>
      </c>
      <c r="U222" s="623">
        <f>ROUND($S222,0)</f>
        <v>0</v>
      </c>
      <c r="V222" s="619">
        <f t="shared" si="72"/>
        <v>0</v>
      </c>
    </row>
    <row r="223" spans="1:22" ht="18" customHeight="1" collapsed="1" thickBot="1">
      <c r="A223" s="799"/>
      <c r="F223" s="638"/>
      <c r="G223" s="638"/>
      <c r="H223" s="638"/>
      <c r="I223" s="638"/>
      <c r="J223" s="638"/>
      <c r="K223" s="638"/>
      <c r="L223" s="638"/>
      <c r="M223" s="800"/>
      <c r="O223" s="752"/>
      <c r="P223" s="682"/>
      <c r="Q223" s="753"/>
      <c r="S223" s="752"/>
      <c r="T223" s="682"/>
      <c r="U223" s="682"/>
      <c r="V223" s="619"/>
    </row>
    <row r="224" spans="1:22" ht="18" customHeight="1" thickBot="1">
      <c r="A224" s="820" t="s">
        <v>536</v>
      </c>
      <c r="B224" s="721" t="s">
        <v>324</v>
      </c>
      <c r="C224" s="803" t="s">
        <v>537</v>
      </c>
      <c r="D224" s="821"/>
      <c r="E224" s="821"/>
      <c r="F224" s="629">
        <f t="shared" ref="F224:N224" si="73">F220+F216+F212+F208+F204+F200+F222</f>
        <v>0</v>
      </c>
      <c r="G224" s="629">
        <f>G220+G216+G212+G208+G204+G200+G222</f>
        <v>195</v>
      </c>
      <c r="H224" s="629">
        <f t="shared" si="73"/>
        <v>0</v>
      </c>
      <c r="I224" s="629">
        <f t="shared" si="73"/>
        <v>0</v>
      </c>
      <c r="J224" s="629">
        <f t="shared" si="73"/>
        <v>0</v>
      </c>
      <c r="K224" s="629">
        <f t="shared" si="73"/>
        <v>0</v>
      </c>
      <c r="L224" s="629">
        <f t="shared" si="73"/>
        <v>0</v>
      </c>
      <c r="M224" s="630">
        <f>M220+M216+M212+M208+M204+M200+M222</f>
        <v>195</v>
      </c>
      <c r="N224" s="822">
        <f t="shared" si="73"/>
        <v>1.7210000000000001</v>
      </c>
      <c r="O224" s="632">
        <f>O220+O216+O212+O208+O204+O200+O222</f>
        <v>8979657.0999999996</v>
      </c>
      <c r="P224" s="633"/>
      <c r="Q224" s="637">
        <f>Q220+Q216+Q212+Q208+Q204+Q200+Q222</f>
        <v>0</v>
      </c>
      <c r="R224" s="635"/>
      <c r="S224" s="632">
        <f>S220+S216+S212+S208+S204+S200+S222</f>
        <v>8979657.0999999996</v>
      </c>
      <c r="T224" s="637">
        <f>T220+T216+T212+T208+T204+T200+T222</f>
        <v>8979657</v>
      </c>
      <c r="U224" s="637">
        <f>U220+U216+U212+U208+U204+U200+U222</f>
        <v>8979657</v>
      </c>
      <c r="V224" s="619">
        <f t="shared" si="72"/>
        <v>17959314</v>
      </c>
    </row>
    <row r="225" spans="1:22" ht="18" customHeight="1">
      <c r="F225" s="638"/>
      <c r="G225" s="638"/>
      <c r="H225" s="638"/>
      <c r="I225" s="638"/>
      <c r="J225" s="638"/>
      <c r="K225" s="638"/>
      <c r="L225" s="638"/>
      <c r="M225" s="571" t="str">
        <f>IF(M224=NewData!Q100,"","Error")</f>
        <v/>
      </c>
      <c r="O225" s="639"/>
      <c r="V225" s="619"/>
    </row>
    <row r="226" spans="1:22" ht="18" customHeight="1">
      <c r="F226" s="638"/>
      <c r="G226" s="638"/>
      <c r="H226" s="638"/>
      <c r="I226" s="638"/>
      <c r="J226" s="638"/>
      <c r="K226" s="638"/>
      <c r="L226" s="638"/>
      <c r="O226" s="639"/>
      <c r="V226" s="619"/>
    </row>
    <row r="227" spans="1:22" ht="18" customHeight="1">
      <c r="A227" s="605" t="s">
        <v>538</v>
      </c>
      <c r="B227" s="606"/>
      <c r="C227" s="606"/>
      <c r="D227" s="641"/>
      <c r="E227" s="641"/>
      <c r="F227" s="642"/>
      <c r="G227" s="642"/>
      <c r="H227" s="642"/>
      <c r="I227" s="642"/>
      <c r="J227" s="638"/>
      <c r="K227" s="638"/>
      <c r="L227" s="638"/>
      <c r="O227" s="639"/>
      <c r="V227" s="619"/>
    </row>
    <row r="228" spans="1:22" ht="18" customHeight="1">
      <c r="A228" s="756" t="s">
        <v>539</v>
      </c>
      <c r="B228" s="610" t="s">
        <v>312</v>
      </c>
      <c r="C228" s="610"/>
      <c r="D228" s="611" t="s">
        <v>540</v>
      </c>
      <c r="E228" s="671"/>
      <c r="F228" s="612"/>
      <c r="G228" s="613">
        <f>VLOOKUP($D$228,collegecode,8,FALSE)</f>
        <v>215</v>
      </c>
      <c r="H228" s="612"/>
      <c r="I228" s="612"/>
      <c r="J228" s="612"/>
      <c r="K228" s="612"/>
      <c r="L228" s="613">
        <f>J228-K228</f>
        <v>0</v>
      </c>
      <c r="M228" s="614">
        <f>ROUND(G228+H228+(F228/F$6)+(I228/I$6)+(L228/L$6),2)</f>
        <v>215</v>
      </c>
      <c r="N228" s="615">
        <f>VLOOKUP($B228,weights,2,FALSE)</f>
        <v>4.7530000000000001</v>
      </c>
      <c r="O228" s="616">
        <f>ROUND(M228*N228*$O$6,2)</f>
        <v>9900647.5700000003</v>
      </c>
      <c r="P228" s="623" t="s">
        <v>315</v>
      </c>
      <c r="Q228" s="617"/>
      <c r="R228" s="570" t="s">
        <v>316</v>
      </c>
      <c r="S228" s="616">
        <f>Q228+O228</f>
        <v>9900647.5700000003</v>
      </c>
      <c r="T228" s="623"/>
      <c r="U228" s="623"/>
      <c r="V228" s="619"/>
    </row>
    <row r="229" spans="1:22" ht="18" customHeight="1">
      <c r="A229" s="757" t="s">
        <v>429</v>
      </c>
      <c r="B229" s="610"/>
      <c r="C229" s="610" t="s">
        <v>313</v>
      </c>
      <c r="D229" s="671"/>
      <c r="E229" s="671"/>
      <c r="F229" s="793"/>
      <c r="G229" s="613">
        <f>SUM(G228:G228)</f>
        <v>215</v>
      </c>
      <c r="H229" s="793"/>
      <c r="I229" s="793"/>
      <c r="J229" s="793"/>
      <c r="K229" s="793"/>
      <c r="L229" s="613">
        <f>SUM(L228:L228)</f>
        <v>0</v>
      </c>
      <c r="M229" s="673">
        <f>SUM(M228:M228)</f>
        <v>215</v>
      </c>
      <c r="N229" s="615"/>
      <c r="O229" s="618">
        <f>SUM(O228:O228)</f>
        <v>9900647.5700000003</v>
      </c>
      <c r="P229" s="623"/>
      <c r="Q229" s="686">
        <f>SUM(Q228:Q228)</f>
        <v>0</v>
      </c>
      <c r="R229" s="570"/>
      <c r="S229" s="618">
        <f>SUM(S228:S228)</f>
        <v>9900647.5700000003</v>
      </c>
      <c r="T229" s="686">
        <f>ROUND($S229,0)</f>
        <v>9900648</v>
      </c>
      <c r="U229" s="686">
        <f>ROUND($S229,0)</f>
        <v>9900648</v>
      </c>
      <c r="V229" s="619">
        <f t="shared" si="72"/>
        <v>19801296</v>
      </c>
    </row>
    <row r="230" spans="1:22" ht="18" customHeight="1">
      <c r="A230" s="823"/>
      <c r="F230" s="638"/>
      <c r="G230" s="638"/>
      <c r="H230" s="638"/>
      <c r="I230" s="638"/>
      <c r="J230" s="638"/>
      <c r="K230" s="638"/>
      <c r="L230" s="638"/>
      <c r="O230" s="752"/>
      <c r="P230" s="563"/>
      <c r="Q230" s="753"/>
      <c r="S230" s="752"/>
      <c r="T230" s="619"/>
      <c r="U230" s="619"/>
      <c r="V230" s="619"/>
    </row>
    <row r="231" spans="1:22" ht="18" hidden="1" customHeight="1" outlineLevel="1">
      <c r="A231" s="758" t="s">
        <v>541</v>
      </c>
      <c r="B231" s="547" t="s">
        <v>317</v>
      </c>
      <c r="F231" s="648"/>
      <c r="G231" s="648"/>
      <c r="H231" s="648"/>
      <c r="I231" s="638"/>
      <c r="J231" s="638"/>
      <c r="K231" s="638">
        <v>0</v>
      </c>
      <c r="L231" s="638">
        <f>J231-K231</f>
        <v>0</v>
      </c>
      <c r="M231" s="571">
        <f>ROUND(G231+H231+(F231/F$6)+(I231/I$6)+(L231/L$6),2)</f>
        <v>0</v>
      </c>
      <c r="N231" s="577">
        <f>VLOOKUP($B231,weights,2,FALSE)</f>
        <v>1.018</v>
      </c>
      <c r="O231" s="755">
        <f>ROUND(M231*N231*$O$6,2)</f>
        <v>0</v>
      </c>
      <c r="P231" s="682" t="s">
        <v>315</v>
      </c>
      <c r="Q231" s="619"/>
      <c r="R231" s="554" t="s">
        <v>316</v>
      </c>
      <c r="S231" s="755">
        <f>Q231+O231</f>
        <v>0</v>
      </c>
      <c r="T231" s="682"/>
      <c r="U231" s="682"/>
      <c r="V231" s="619"/>
    </row>
    <row r="232" spans="1:22" ht="18" hidden="1" customHeight="1" outlineLevel="1">
      <c r="A232" s="715"/>
      <c r="F232" s="638"/>
      <c r="G232" s="638"/>
      <c r="H232" s="638"/>
      <c r="I232" s="638"/>
      <c r="J232" s="638"/>
      <c r="K232" s="638"/>
      <c r="L232" s="638"/>
      <c r="O232" s="807"/>
      <c r="P232" s="682"/>
      <c r="Q232" s="682"/>
      <c r="S232" s="807"/>
      <c r="T232" s="682"/>
      <c r="U232" s="682"/>
      <c r="V232" s="619"/>
    </row>
    <row r="233" spans="1:22" ht="18" hidden="1" customHeight="1" outlineLevel="1">
      <c r="A233" s="757" t="s">
        <v>350</v>
      </c>
      <c r="B233" s="610"/>
      <c r="C233" s="610" t="s">
        <v>318</v>
      </c>
      <c r="D233" s="671"/>
      <c r="E233" s="671"/>
      <c r="F233" s="793"/>
      <c r="G233" s="793"/>
      <c r="H233" s="793"/>
      <c r="I233" s="613">
        <f>SUM(I231:I232)</f>
        <v>0</v>
      </c>
      <c r="J233" s="613">
        <f>SUM(J231:J232)</f>
        <v>0</v>
      </c>
      <c r="K233" s="613">
        <f>SUM(K231:K232)</f>
        <v>0</v>
      </c>
      <c r="L233" s="613">
        <f>SUM(L231:L232)</f>
        <v>0</v>
      </c>
      <c r="M233" s="673">
        <f>SUM(M231:M232)</f>
        <v>0</v>
      </c>
      <c r="N233" s="615"/>
      <c r="O233" s="618">
        <f>SUM(O231:O232)</f>
        <v>0</v>
      </c>
      <c r="P233" s="623"/>
      <c r="Q233" s="686">
        <f>SUM(Q231:Q232)</f>
        <v>0</v>
      </c>
      <c r="R233" s="570" t="s">
        <v>316</v>
      </c>
      <c r="S233" s="618">
        <f>SUM(S231:S232)</f>
        <v>0</v>
      </c>
      <c r="T233" s="623">
        <f>ROUND($S233,0)</f>
        <v>0</v>
      </c>
      <c r="U233" s="623">
        <f>ROUND($S233,0)</f>
        <v>0</v>
      </c>
      <c r="V233" s="619"/>
    </row>
    <row r="234" spans="1:22" ht="18" hidden="1" customHeight="1" outlineLevel="1">
      <c r="A234" s="758"/>
      <c r="B234" s="698"/>
      <c r="C234" s="698"/>
      <c r="D234" s="759"/>
      <c r="E234" s="759"/>
      <c r="F234" s="712"/>
      <c r="G234" s="712"/>
      <c r="H234" s="712"/>
      <c r="I234" s="712"/>
      <c r="J234" s="638"/>
      <c r="K234" s="638"/>
      <c r="L234" s="638"/>
      <c r="O234" s="619"/>
      <c r="P234" s="682"/>
      <c r="Q234" s="619"/>
      <c r="S234" s="619"/>
      <c r="T234" s="682"/>
      <c r="U234" s="682"/>
      <c r="V234" s="619"/>
    </row>
    <row r="235" spans="1:22" ht="18" hidden="1" customHeight="1" outlineLevel="1">
      <c r="A235" s="758" t="s">
        <v>542</v>
      </c>
      <c r="B235" s="547" t="s">
        <v>320</v>
      </c>
      <c r="F235" s="638"/>
      <c r="G235" s="648"/>
      <c r="H235" s="648"/>
      <c r="I235" s="638"/>
      <c r="J235" s="638"/>
      <c r="K235" s="638">
        <v>0</v>
      </c>
      <c r="L235" s="638">
        <f>J235-K235</f>
        <v>0</v>
      </c>
      <c r="M235" s="571">
        <f>ROUND(G235+H235+(F235/F$6)+(I235/I$6)+(L235/L$6),2)</f>
        <v>0</v>
      </c>
      <c r="N235" s="577">
        <f>VLOOKUP($B235,weights,2,FALSE)</f>
        <v>1</v>
      </c>
      <c r="O235" s="755">
        <f>ROUND(M235*N235*$O$6,2)</f>
        <v>0</v>
      </c>
      <c r="P235" s="682" t="s">
        <v>315</v>
      </c>
      <c r="Q235" s="755"/>
      <c r="R235" s="554" t="s">
        <v>316</v>
      </c>
      <c r="S235" s="755">
        <f>Q235+O235</f>
        <v>0</v>
      </c>
      <c r="T235" s="682"/>
      <c r="U235" s="682"/>
      <c r="V235" s="619"/>
    </row>
    <row r="236" spans="1:22" ht="18" hidden="1" customHeight="1" outlineLevel="1">
      <c r="A236" s="824"/>
      <c r="B236" s="809"/>
      <c r="C236" s="809"/>
      <c r="D236" s="810"/>
      <c r="E236" s="810"/>
      <c r="F236" s="812"/>
      <c r="G236" s="812"/>
      <c r="H236" s="812"/>
      <c r="I236" s="638"/>
      <c r="J236" s="638"/>
      <c r="K236" s="638"/>
      <c r="L236" s="812"/>
      <c r="M236" s="813"/>
      <c r="N236" s="814"/>
      <c r="O236" s="807"/>
      <c r="P236" s="815"/>
      <c r="Q236" s="815"/>
      <c r="R236" s="816"/>
      <c r="S236" s="807"/>
      <c r="T236" s="815"/>
      <c r="U236" s="815"/>
      <c r="V236" s="619"/>
    </row>
    <row r="237" spans="1:22" ht="18" hidden="1" customHeight="1" outlineLevel="1">
      <c r="A237" s="757" t="s">
        <v>400</v>
      </c>
      <c r="B237" s="610"/>
      <c r="C237" s="610" t="s">
        <v>321</v>
      </c>
      <c r="D237" s="671"/>
      <c r="E237" s="671"/>
      <c r="F237" s="613">
        <f>SUM(F235:F236)</f>
        <v>0</v>
      </c>
      <c r="G237" s="793"/>
      <c r="H237" s="793"/>
      <c r="I237" s="613">
        <f>SUM(I235:I236)</f>
        <v>0</v>
      </c>
      <c r="J237" s="613">
        <f>SUM(J235:J236)</f>
        <v>0</v>
      </c>
      <c r="K237" s="613">
        <f>SUM(K235:K236)</f>
        <v>0</v>
      </c>
      <c r="L237" s="613">
        <f>SUM(L235:L236)</f>
        <v>0</v>
      </c>
      <c r="M237" s="673">
        <f>SUM(M235:M236)</f>
        <v>0</v>
      </c>
      <c r="N237" s="615"/>
      <c r="O237" s="618">
        <f>SUM(O235:O236)</f>
        <v>0</v>
      </c>
      <c r="P237" s="623"/>
      <c r="Q237" s="686">
        <f>SUM(Q235:Q236)</f>
        <v>0</v>
      </c>
      <c r="R237" s="570" t="s">
        <v>316</v>
      </c>
      <c r="S237" s="618">
        <f>SUM(S235:S236)</f>
        <v>0</v>
      </c>
      <c r="T237" s="623">
        <f>ROUND($S237,0)</f>
        <v>0</v>
      </c>
      <c r="U237" s="623">
        <f>ROUND($S237,0)</f>
        <v>0</v>
      </c>
      <c r="V237" s="619"/>
    </row>
    <row r="238" spans="1:22" ht="18" hidden="1" customHeight="1" outlineLevel="1">
      <c r="A238" s="796"/>
      <c r="F238" s="638"/>
      <c r="G238" s="638"/>
      <c r="H238" s="638"/>
      <c r="I238" s="638"/>
      <c r="J238" s="638"/>
      <c r="K238" s="638"/>
      <c r="L238" s="638"/>
      <c r="O238" s="682"/>
      <c r="P238" s="682"/>
      <c r="Q238" s="682"/>
      <c r="S238" s="682"/>
      <c r="T238" s="682"/>
      <c r="U238" s="682"/>
      <c r="V238" s="619"/>
    </row>
    <row r="239" spans="1:22" ht="18" hidden="1" customHeight="1" outlineLevel="1">
      <c r="A239" s="758" t="s">
        <v>543</v>
      </c>
      <c r="B239" s="547" t="s">
        <v>331</v>
      </c>
      <c r="F239" s="638"/>
      <c r="G239" s="648"/>
      <c r="H239" s="648"/>
      <c r="I239" s="648"/>
      <c r="J239" s="648"/>
      <c r="K239" s="648"/>
      <c r="L239" s="638">
        <f>J239-K239</f>
        <v>0</v>
      </c>
      <c r="M239" s="571">
        <f>ROUND(G239+H239+(F239/F$6)+(I239/I$6)+(L239/L$6),2)</f>
        <v>0</v>
      </c>
      <c r="N239" s="577">
        <f>VLOOKUP($B239,weights,2,FALSE)</f>
        <v>1.1379999999999999</v>
      </c>
      <c r="O239" s="755">
        <f>ROUND(M239*N239*$O$6,2)</f>
        <v>0</v>
      </c>
      <c r="P239" s="682" t="s">
        <v>315</v>
      </c>
      <c r="Q239" s="619"/>
      <c r="R239" s="554" t="s">
        <v>316</v>
      </c>
      <c r="S239" s="755">
        <f>Q239+O239</f>
        <v>0</v>
      </c>
      <c r="T239" s="682"/>
      <c r="U239" s="682"/>
      <c r="V239" s="619"/>
    </row>
    <row r="240" spans="1:22" ht="18" hidden="1" customHeight="1" outlineLevel="1">
      <c r="A240" s="715"/>
      <c r="F240" s="638"/>
      <c r="G240" s="638"/>
      <c r="H240" s="638"/>
      <c r="I240" s="638"/>
      <c r="J240" s="638"/>
      <c r="K240" s="638"/>
      <c r="L240" s="638"/>
      <c r="O240" s="807"/>
      <c r="P240" s="682"/>
      <c r="Q240" s="682"/>
      <c r="S240" s="807"/>
      <c r="T240" s="682"/>
      <c r="U240" s="682"/>
      <c r="V240" s="619"/>
    </row>
    <row r="241" spans="1:22" ht="18" hidden="1" customHeight="1" outlineLevel="1">
      <c r="A241" s="757" t="s">
        <v>529</v>
      </c>
      <c r="B241" s="610"/>
      <c r="C241" s="610" t="s">
        <v>332</v>
      </c>
      <c r="D241" s="671"/>
      <c r="E241" s="671"/>
      <c r="F241" s="613">
        <f>SUM(F239:F240)</f>
        <v>0</v>
      </c>
      <c r="G241" s="793"/>
      <c r="H241" s="793"/>
      <c r="I241" s="793"/>
      <c r="J241" s="793"/>
      <c r="K241" s="793"/>
      <c r="L241" s="613">
        <f>SUM(L239:L240)</f>
        <v>0</v>
      </c>
      <c r="M241" s="673">
        <f>SUM(M239:M240)</f>
        <v>0</v>
      </c>
      <c r="N241" s="615"/>
      <c r="O241" s="618">
        <f>SUM(O239:O240)</f>
        <v>0</v>
      </c>
      <c r="P241" s="623"/>
      <c r="Q241" s="686">
        <f>SUM(Q239:Q240)</f>
        <v>0</v>
      </c>
      <c r="R241" s="570" t="s">
        <v>316</v>
      </c>
      <c r="S241" s="817">
        <f>SUM(S239:S240)</f>
        <v>0</v>
      </c>
      <c r="T241" s="682"/>
      <c r="U241" s="682"/>
      <c r="V241" s="619"/>
    </row>
    <row r="242" spans="1:22" ht="18" hidden="1" customHeight="1" outlineLevel="1">
      <c r="O242" s="682"/>
      <c r="P242" s="682"/>
      <c r="Q242" s="682"/>
      <c r="S242" s="682"/>
      <c r="T242" s="682"/>
      <c r="U242" s="682"/>
      <c r="V242" s="619"/>
    </row>
    <row r="243" spans="1:22" ht="18" hidden="1" customHeight="1" outlineLevel="1">
      <c r="A243" s="758" t="s">
        <v>544</v>
      </c>
      <c r="B243" s="547" t="s">
        <v>531</v>
      </c>
      <c r="F243" s="648"/>
      <c r="G243" s="648"/>
      <c r="H243" s="648"/>
      <c r="I243" s="638"/>
      <c r="J243" s="638"/>
      <c r="K243" s="638">
        <v>0</v>
      </c>
      <c r="L243" s="638">
        <f>J243-K243</f>
        <v>0</v>
      </c>
      <c r="M243" s="571">
        <f>ROUND(G243+H243+(F243/F$6)+(I243/I$6)+(L243/L$6),2)</f>
        <v>0</v>
      </c>
      <c r="N243" s="577">
        <f>VLOOKUP($B243,weights,2,FALSE)</f>
        <v>1.1379999999999999</v>
      </c>
      <c r="O243" s="755">
        <f>ROUND(M243*N243*$O$6,2)</f>
        <v>0</v>
      </c>
      <c r="P243" s="682" t="s">
        <v>315</v>
      </c>
      <c r="Q243" s="619"/>
      <c r="R243" s="554" t="s">
        <v>316</v>
      </c>
      <c r="S243" s="755">
        <f>Q243+O243</f>
        <v>0</v>
      </c>
      <c r="T243" s="682"/>
      <c r="U243" s="682"/>
      <c r="V243" s="619"/>
    </row>
    <row r="244" spans="1:22" ht="18" hidden="1" customHeight="1" outlineLevel="1">
      <c r="A244" s="715"/>
      <c r="F244" s="638"/>
      <c r="G244" s="638"/>
      <c r="H244" s="638"/>
      <c r="I244" s="638"/>
      <c r="J244" s="638"/>
      <c r="K244" s="638"/>
      <c r="L244" s="638"/>
      <c r="O244" s="807"/>
      <c r="P244" s="682"/>
      <c r="Q244" s="682"/>
      <c r="S244" s="807"/>
      <c r="T244" s="682"/>
      <c r="U244" s="682"/>
      <c r="V244" s="619"/>
    </row>
    <row r="245" spans="1:22" ht="18" hidden="1" customHeight="1" outlineLevel="1">
      <c r="A245" s="757" t="s">
        <v>532</v>
      </c>
      <c r="B245" s="610"/>
      <c r="C245" s="610" t="s">
        <v>533</v>
      </c>
      <c r="D245" s="671"/>
      <c r="E245" s="671"/>
      <c r="F245" s="793"/>
      <c r="G245" s="793"/>
      <c r="H245" s="793"/>
      <c r="I245" s="613">
        <f>SUM(I243:I244)</f>
        <v>0</v>
      </c>
      <c r="J245" s="613">
        <f>SUM(J243:J244)</f>
        <v>0</v>
      </c>
      <c r="K245" s="613">
        <f>SUM(K243:K244)</f>
        <v>0</v>
      </c>
      <c r="L245" s="613">
        <f>SUM(L243:L244)</f>
        <v>0</v>
      </c>
      <c r="M245" s="673">
        <f>SUM(M243:M244)</f>
        <v>0</v>
      </c>
      <c r="N245" s="615"/>
      <c r="O245" s="618">
        <f>SUM(O243:O244)</f>
        <v>0</v>
      </c>
      <c r="P245" s="623"/>
      <c r="Q245" s="686">
        <f>SUM(Q243:Q244)</f>
        <v>0</v>
      </c>
      <c r="R245" s="570" t="s">
        <v>316</v>
      </c>
      <c r="S245" s="618">
        <f>SUM(S243:S244)</f>
        <v>0</v>
      </c>
      <c r="T245" s="623">
        <f>ROUND($S245+$S241,0)</f>
        <v>0</v>
      </c>
      <c r="U245" s="623">
        <f>ROUND($S245+$S241,0)</f>
        <v>0</v>
      </c>
      <c r="V245" s="619"/>
    </row>
    <row r="246" spans="1:22" ht="18" hidden="1" customHeight="1" outlineLevel="1">
      <c r="A246" s="758"/>
      <c r="F246" s="712"/>
      <c r="G246" s="712"/>
      <c r="H246" s="712"/>
      <c r="I246" s="712"/>
      <c r="J246" s="638"/>
      <c r="K246" s="638"/>
      <c r="L246" s="638"/>
      <c r="O246" s="682"/>
      <c r="P246" s="682"/>
      <c r="Q246" s="682"/>
      <c r="S246" s="682"/>
      <c r="T246" s="682"/>
      <c r="U246" s="682"/>
      <c r="V246" s="619"/>
    </row>
    <row r="247" spans="1:22" ht="18" hidden="1" customHeight="1" outlineLevel="1">
      <c r="A247" s="819" t="s">
        <v>545</v>
      </c>
      <c r="B247" s="658" t="s">
        <v>335</v>
      </c>
      <c r="C247" s="678" t="s">
        <v>336</v>
      </c>
      <c r="D247" s="801"/>
      <c r="E247" s="801"/>
      <c r="F247" s="612"/>
      <c r="G247" s="612"/>
      <c r="H247" s="612"/>
      <c r="I247" s="613"/>
      <c r="J247" s="613"/>
      <c r="K247" s="613">
        <v>0</v>
      </c>
      <c r="L247" s="613">
        <f>J247-K247</f>
        <v>0</v>
      </c>
      <c r="M247" s="614">
        <f>ROUND(G247+H247+(F247/F$6)+(I247/I$6)+(L247/L$6),2)</f>
        <v>0</v>
      </c>
      <c r="N247" s="615">
        <f>VLOOKUP($B247,weights,2,FALSE)</f>
        <v>1.7210000000000001</v>
      </c>
      <c r="O247" s="620">
        <f>ROUND(M247*N247*$O$6,2)</f>
        <v>0</v>
      </c>
      <c r="P247" s="623" t="s">
        <v>315</v>
      </c>
      <c r="Q247" s="621"/>
      <c r="R247" s="570" t="s">
        <v>316</v>
      </c>
      <c r="S247" s="622">
        <f>Q247+O247</f>
        <v>0</v>
      </c>
      <c r="T247" s="623">
        <f>ROUND($S247,0)</f>
        <v>0</v>
      </c>
      <c r="U247" s="623">
        <f>ROUND($S247,0)</f>
        <v>0</v>
      </c>
      <c r="V247" s="619"/>
    </row>
    <row r="248" spans="1:22" ht="18" customHeight="1" collapsed="1">
      <c r="A248" s="756" t="s">
        <v>546</v>
      </c>
      <c r="B248" s="610" t="s">
        <v>547</v>
      </c>
      <c r="C248" s="610"/>
      <c r="D248" s="643" t="s">
        <v>548</v>
      </c>
      <c r="E248" s="671"/>
      <c r="F248" s="612"/>
      <c r="G248" s="613">
        <f>VLOOKUP($D$248,collegecode,10,FALSE)</f>
        <v>27</v>
      </c>
      <c r="H248" s="613">
        <f>VLOOKUP($D$248,collegecode,9,FALSE)</f>
        <v>0</v>
      </c>
      <c r="I248" s="613">
        <f>VLOOKUP($D$248,collegecode,6,FALSE)</f>
        <v>0</v>
      </c>
      <c r="J248" s="613">
        <f>VLOOKUP($D$248,collegecode,7,FALSE)</f>
        <v>0</v>
      </c>
      <c r="K248" s="613">
        <f>VLOOKUP($D$248,collegecode,11,FALSE)</f>
        <v>0</v>
      </c>
      <c r="L248" s="613">
        <f>J248-K248</f>
        <v>0</v>
      </c>
      <c r="M248" s="614">
        <f>ROUND(G248+H248+(F248/F$6)+(I248/I$6)+(L248/L$6),2)</f>
        <v>27</v>
      </c>
      <c r="N248" s="615">
        <f>VLOOKUP($B248,weights,2,FALSE)</f>
        <v>4.7530000000000001</v>
      </c>
      <c r="O248" s="616">
        <f>ROUND(M248*N248*$O$6,2)</f>
        <v>1243337.1399999999</v>
      </c>
      <c r="P248" s="623" t="s">
        <v>315</v>
      </c>
      <c r="Q248" s="617"/>
      <c r="R248" s="570" t="s">
        <v>316</v>
      </c>
      <c r="S248" s="616">
        <f>Q248+O248</f>
        <v>1243337.1399999999</v>
      </c>
      <c r="T248" s="623"/>
      <c r="U248" s="623"/>
      <c r="V248" s="619"/>
    </row>
    <row r="249" spans="1:22" ht="18" customHeight="1" thickBot="1">
      <c r="A249" s="757" t="s">
        <v>549</v>
      </c>
      <c r="B249" s="610"/>
      <c r="C249" s="610" t="s">
        <v>550</v>
      </c>
      <c r="D249" s="671"/>
      <c r="E249" s="671"/>
      <c r="F249" s="793"/>
      <c r="G249" s="613">
        <f>SUM(G248:G248)</f>
        <v>27</v>
      </c>
      <c r="H249" s="793"/>
      <c r="I249" s="793"/>
      <c r="J249" s="793"/>
      <c r="K249" s="793"/>
      <c r="L249" s="613">
        <f>SUM(L248:L248)</f>
        <v>0</v>
      </c>
      <c r="M249" s="785">
        <f>SUM(M248:M248)</f>
        <v>27</v>
      </c>
      <c r="N249" s="615"/>
      <c r="O249" s="618">
        <f>SUM(O248:O248)</f>
        <v>1243337.1399999999</v>
      </c>
      <c r="P249" s="623"/>
      <c r="Q249" s="686">
        <f>SUM(Q248:Q248)</f>
        <v>0</v>
      </c>
      <c r="R249" s="570"/>
      <c r="S249" s="618">
        <f>SUM(S248:S248)</f>
        <v>1243337.1399999999</v>
      </c>
      <c r="T249" s="686">
        <f>ROUND($S249,0)</f>
        <v>1243337</v>
      </c>
      <c r="U249" s="686">
        <f>ROUND($S249,0)</f>
        <v>1243337</v>
      </c>
      <c r="V249" s="619">
        <f t="shared" si="72"/>
        <v>2486674</v>
      </c>
    </row>
    <row r="250" spans="1:22" s="575" customFormat="1" ht="18" customHeight="1" thickBot="1">
      <c r="A250" s="820" t="s">
        <v>551</v>
      </c>
      <c r="B250" s="721" t="s">
        <v>324</v>
      </c>
      <c r="C250" s="803" t="s">
        <v>552</v>
      </c>
      <c r="D250" s="804"/>
      <c r="E250" s="804"/>
      <c r="F250" s="723">
        <f>F245+F241+F237+F233+F229+F247</f>
        <v>0</v>
      </c>
      <c r="G250" s="723">
        <f>G229+G249</f>
        <v>242</v>
      </c>
      <c r="H250" s="723">
        <f>H229+H249</f>
        <v>0</v>
      </c>
      <c r="I250" s="723">
        <f>I229+I249</f>
        <v>0</v>
      </c>
      <c r="J250" s="723">
        <f>J229+J249</f>
        <v>0</v>
      </c>
      <c r="K250" s="723">
        <f>K229+K249</f>
        <v>0</v>
      </c>
      <c r="L250" s="723">
        <f>L245+L241+L237+L233+L229+L247</f>
        <v>0</v>
      </c>
      <c r="M250" s="630">
        <f>M245+M241+M237+M233+M229+M247+M249</f>
        <v>242</v>
      </c>
      <c r="N250" s="825"/>
      <c r="O250" s="632">
        <f>O245+O241+O237+O233+O229+O247+O249</f>
        <v>11143984.710000001</v>
      </c>
      <c r="P250" s="826" t="s">
        <v>315</v>
      </c>
      <c r="Q250" s="632">
        <f>Q245+Q241+Q237+Q233+Q229+Q247+Q249</f>
        <v>0</v>
      </c>
      <c r="R250" s="743" t="s">
        <v>316</v>
      </c>
      <c r="S250" s="632">
        <f>S245+S241+S237+S233+S229+S247+S249</f>
        <v>11143984.710000001</v>
      </c>
      <c r="T250" s="938">
        <f>T245+T241+T237+T233+T229+T247+T249</f>
        <v>11143985</v>
      </c>
      <c r="U250" s="938">
        <f>U245+U241+U237+U233+U229+U247+U249</f>
        <v>11143985</v>
      </c>
      <c r="V250" s="619">
        <f t="shared" si="72"/>
        <v>22287970</v>
      </c>
    </row>
    <row r="251" spans="1:22" ht="18" customHeight="1">
      <c r="F251" s="638"/>
      <c r="G251" s="638"/>
      <c r="H251" s="638"/>
      <c r="I251" s="638"/>
      <c r="J251" s="638"/>
      <c r="K251" s="638"/>
      <c r="L251" s="638"/>
      <c r="M251" s="571" t="str">
        <f>IF(M250=NewData!Q98,"","Error")</f>
        <v/>
      </c>
      <c r="O251" s="639"/>
      <c r="V251" s="619"/>
    </row>
    <row r="252" spans="1:22" ht="18" customHeight="1">
      <c r="F252" s="638"/>
      <c r="G252" s="638"/>
      <c r="H252" s="638"/>
      <c r="I252" s="638"/>
      <c r="J252" s="638"/>
      <c r="K252" s="638"/>
      <c r="L252" s="638"/>
      <c r="O252" s="639"/>
      <c r="V252" s="619"/>
    </row>
    <row r="253" spans="1:22" ht="18" customHeight="1">
      <c r="A253" s="605" t="s">
        <v>553</v>
      </c>
      <c r="B253" s="606"/>
      <c r="C253" s="606"/>
      <c r="D253" s="641"/>
      <c r="E253" s="641"/>
      <c r="F253" s="642"/>
      <c r="G253" s="642"/>
      <c r="H253" s="642"/>
      <c r="I253" s="642"/>
      <c r="J253" s="638"/>
      <c r="K253" s="638"/>
      <c r="L253" s="638"/>
      <c r="O253" s="639"/>
      <c r="V253" s="619"/>
    </row>
    <row r="254" spans="1:22" ht="18" customHeight="1">
      <c r="A254" s="756" t="s">
        <v>554</v>
      </c>
      <c r="B254" s="610" t="s">
        <v>312</v>
      </c>
      <c r="C254" s="610"/>
      <c r="D254" s="611" t="s">
        <v>555</v>
      </c>
      <c r="E254" s="671"/>
      <c r="F254" s="612"/>
      <c r="G254" s="613">
        <f>VLOOKUP($D$254,collegecode,8,FALSE)</f>
        <v>120</v>
      </c>
      <c r="H254" s="612"/>
      <c r="I254" s="612"/>
      <c r="J254" s="612"/>
      <c r="K254" s="612"/>
      <c r="L254" s="613">
        <f>J254-K254</f>
        <v>0</v>
      </c>
      <c r="M254" s="614">
        <f>ROUND(G254+H254+(F254/F$6)+(I254/I$6)+(L254/L$6),2)</f>
        <v>120</v>
      </c>
      <c r="N254" s="615">
        <f>VLOOKUP($B254,weights,2,FALSE)</f>
        <v>4.7530000000000001</v>
      </c>
      <c r="O254" s="616">
        <f>ROUND(M254*N254*$O$6,2)</f>
        <v>5525942.8300000001</v>
      </c>
      <c r="P254" s="623" t="s">
        <v>315</v>
      </c>
      <c r="Q254" s="617"/>
      <c r="R254" s="570" t="s">
        <v>316</v>
      </c>
      <c r="S254" s="616">
        <f>Q254+O254</f>
        <v>5525942.8300000001</v>
      </c>
      <c r="T254" s="623"/>
      <c r="U254" s="623"/>
      <c r="V254" s="619"/>
    </row>
    <row r="255" spans="1:22" ht="18" customHeight="1" thickBot="1">
      <c r="A255" s="757" t="s">
        <v>429</v>
      </c>
      <c r="B255" s="610"/>
      <c r="C255" s="610" t="s">
        <v>313</v>
      </c>
      <c r="D255" s="671"/>
      <c r="E255" s="671"/>
      <c r="F255" s="793"/>
      <c r="G255" s="613">
        <f>SUM(G254:G254)</f>
        <v>120</v>
      </c>
      <c r="H255" s="793"/>
      <c r="I255" s="793"/>
      <c r="J255" s="793"/>
      <c r="K255" s="793"/>
      <c r="L255" s="613">
        <f>SUM(L254:L254)</f>
        <v>0</v>
      </c>
      <c r="M255" s="673">
        <f>SUM(M254:M254)</f>
        <v>120</v>
      </c>
      <c r="N255" s="615"/>
      <c r="O255" s="618">
        <f>SUM(O254:O254)</f>
        <v>5525942.8300000001</v>
      </c>
      <c r="P255" s="623"/>
      <c r="Q255" s="686">
        <f>SUM(Q254:Q254)</f>
        <v>0</v>
      </c>
      <c r="R255" s="570"/>
      <c r="S255" s="618">
        <f>SUM(S254:S254)</f>
        <v>5525942.8300000001</v>
      </c>
      <c r="T255" s="686">
        <f>ROUND($S255,0)</f>
        <v>5525943</v>
      </c>
      <c r="U255" s="686">
        <f>ROUND($S255,0)</f>
        <v>5525943</v>
      </c>
      <c r="V255" s="619">
        <f t="shared" si="72"/>
        <v>11051886</v>
      </c>
    </row>
    <row r="256" spans="1:22" ht="18" hidden="1" customHeight="1" outlineLevel="1">
      <c r="A256" s="758" t="s">
        <v>541</v>
      </c>
      <c r="B256" s="547" t="s">
        <v>317</v>
      </c>
      <c r="F256" s="648"/>
      <c r="G256" s="648"/>
      <c r="H256" s="648"/>
      <c r="I256" s="638"/>
      <c r="J256" s="638"/>
      <c r="K256" s="638">
        <v>0</v>
      </c>
      <c r="L256" s="638">
        <f>J256-K256</f>
        <v>0</v>
      </c>
      <c r="M256" s="571">
        <f>ROUND(G256+H256+(F256/F$6)+(I256/I$6)+(L256/L$6),2)</f>
        <v>0</v>
      </c>
      <c r="N256" s="577">
        <f>VLOOKUP($B256,weights,2,FALSE)</f>
        <v>1.018</v>
      </c>
      <c r="O256" s="755">
        <f>ROUND(M256*N256*$O$6,2)</f>
        <v>0</v>
      </c>
      <c r="P256" s="682" t="s">
        <v>315</v>
      </c>
      <c r="Q256" s="619"/>
      <c r="R256" s="554" t="s">
        <v>316</v>
      </c>
      <c r="S256" s="755">
        <f>Q256+O256</f>
        <v>0</v>
      </c>
      <c r="T256" s="682"/>
      <c r="U256" s="682"/>
      <c r="V256" s="619">
        <f t="shared" si="72"/>
        <v>0</v>
      </c>
    </row>
    <row r="257" spans="1:22" ht="18" hidden="1" customHeight="1" outlineLevel="1">
      <c r="A257" s="715"/>
      <c r="F257" s="638"/>
      <c r="G257" s="638"/>
      <c r="H257" s="638"/>
      <c r="I257" s="638"/>
      <c r="J257" s="638"/>
      <c r="K257" s="638"/>
      <c r="L257" s="638"/>
      <c r="O257" s="807"/>
      <c r="P257" s="682"/>
      <c r="Q257" s="682"/>
      <c r="S257" s="807"/>
      <c r="T257" s="682"/>
      <c r="U257" s="682"/>
      <c r="V257" s="619">
        <f t="shared" si="72"/>
        <v>0</v>
      </c>
    </row>
    <row r="258" spans="1:22" ht="18" hidden="1" customHeight="1" outlineLevel="1">
      <c r="A258" s="757" t="s">
        <v>350</v>
      </c>
      <c r="B258" s="610"/>
      <c r="C258" s="610" t="s">
        <v>318</v>
      </c>
      <c r="D258" s="671"/>
      <c r="E258" s="671"/>
      <c r="F258" s="793"/>
      <c r="G258" s="793"/>
      <c r="H258" s="793"/>
      <c r="I258" s="613">
        <f>SUM(I256:I257)</f>
        <v>0</v>
      </c>
      <c r="J258" s="613">
        <f>SUM(J256:J257)</f>
        <v>0</v>
      </c>
      <c r="K258" s="613">
        <f>SUM(K256:K257)</f>
        <v>0</v>
      </c>
      <c r="L258" s="613">
        <f>SUM(L256:L257)</f>
        <v>0</v>
      </c>
      <c r="M258" s="673">
        <f>SUM(M256:M257)</f>
        <v>0</v>
      </c>
      <c r="N258" s="615"/>
      <c r="O258" s="618">
        <f>SUM(O256:O257)</f>
        <v>0</v>
      </c>
      <c r="P258" s="623"/>
      <c r="Q258" s="686">
        <f>SUM(Q256:Q257)</f>
        <v>0</v>
      </c>
      <c r="R258" s="570" t="s">
        <v>316</v>
      </c>
      <c r="S258" s="618">
        <f>SUM(S256:S257)</f>
        <v>0</v>
      </c>
      <c r="T258" s="623">
        <f>ROUND($S258,0)</f>
        <v>0</v>
      </c>
      <c r="U258" s="623">
        <f>ROUND($S258,0)</f>
        <v>0</v>
      </c>
      <c r="V258" s="619">
        <f t="shared" si="72"/>
        <v>0</v>
      </c>
    </row>
    <row r="259" spans="1:22" ht="18" hidden="1" customHeight="1" outlineLevel="1">
      <c r="A259" s="758"/>
      <c r="B259" s="698"/>
      <c r="C259" s="698"/>
      <c r="D259" s="759"/>
      <c r="E259" s="759"/>
      <c r="F259" s="712"/>
      <c r="G259" s="712"/>
      <c r="H259" s="712"/>
      <c r="I259" s="712"/>
      <c r="J259" s="638"/>
      <c r="K259" s="638"/>
      <c r="L259" s="638"/>
      <c r="O259" s="619"/>
      <c r="P259" s="682"/>
      <c r="Q259" s="619"/>
      <c r="S259" s="619"/>
      <c r="T259" s="682"/>
      <c r="U259" s="682"/>
      <c r="V259" s="619">
        <f t="shared" si="72"/>
        <v>0</v>
      </c>
    </row>
    <row r="260" spans="1:22" ht="18" hidden="1" customHeight="1" outlineLevel="1">
      <c r="A260" s="758" t="s">
        <v>542</v>
      </c>
      <c r="B260" s="547" t="s">
        <v>320</v>
      </c>
      <c r="F260" s="638"/>
      <c r="G260" s="648"/>
      <c r="H260" s="648"/>
      <c r="I260" s="638"/>
      <c r="J260" s="638"/>
      <c r="K260" s="638">
        <v>0</v>
      </c>
      <c r="L260" s="638">
        <f>J260-K260</f>
        <v>0</v>
      </c>
      <c r="M260" s="571">
        <f>ROUND(G260+H260+(F260/F$6)+(I260/I$6)+(L260/L$6),2)</f>
        <v>0</v>
      </c>
      <c r="N260" s="577">
        <f>VLOOKUP($B260,weights,2,FALSE)</f>
        <v>1</v>
      </c>
      <c r="O260" s="755">
        <f>ROUND(M260*N260*$O$6,2)</f>
        <v>0</v>
      </c>
      <c r="P260" s="682" t="s">
        <v>315</v>
      </c>
      <c r="Q260" s="755"/>
      <c r="R260" s="554" t="s">
        <v>316</v>
      </c>
      <c r="S260" s="755">
        <f>Q260+O260</f>
        <v>0</v>
      </c>
      <c r="T260" s="682"/>
      <c r="U260" s="682"/>
      <c r="V260" s="619">
        <f t="shared" si="72"/>
        <v>0</v>
      </c>
    </row>
    <row r="261" spans="1:22" ht="18" hidden="1" customHeight="1" outlineLevel="1">
      <c r="A261" s="824"/>
      <c r="B261" s="809"/>
      <c r="C261" s="809"/>
      <c r="D261" s="810"/>
      <c r="E261" s="810"/>
      <c r="F261" s="812"/>
      <c r="G261" s="812"/>
      <c r="H261" s="812"/>
      <c r="I261" s="638"/>
      <c r="J261" s="638"/>
      <c r="K261" s="638"/>
      <c r="L261" s="812"/>
      <c r="M261" s="813"/>
      <c r="N261" s="814"/>
      <c r="O261" s="807"/>
      <c r="P261" s="815"/>
      <c r="Q261" s="815"/>
      <c r="R261" s="816"/>
      <c r="S261" s="807"/>
      <c r="T261" s="815"/>
      <c r="U261" s="815"/>
      <c r="V261" s="619">
        <f t="shared" si="72"/>
        <v>0</v>
      </c>
    </row>
    <row r="262" spans="1:22" ht="18" hidden="1" customHeight="1" outlineLevel="1">
      <c r="A262" s="757" t="s">
        <v>400</v>
      </c>
      <c r="B262" s="610"/>
      <c r="C262" s="610" t="s">
        <v>321</v>
      </c>
      <c r="D262" s="671"/>
      <c r="E262" s="671"/>
      <c r="F262" s="613">
        <f>SUM(F260:F261)</f>
        <v>0</v>
      </c>
      <c r="G262" s="793"/>
      <c r="H262" s="793"/>
      <c r="I262" s="613">
        <f>SUM(I260:I261)</f>
        <v>0</v>
      </c>
      <c r="J262" s="613">
        <f>SUM(J260:J261)</f>
        <v>0</v>
      </c>
      <c r="K262" s="613">
        <f>SUM(K260:K261)</f>
        <v>0</v>
      </c>
      <c r="L262" s="613">
        <f>SUM(L260:L261)</f>
        <v>0</v>
      </c>
      <c r="M262" s="673">
        <f>SUM(M260:M261)</f>
        <v>0</v>
      </c>
      <c r="N262" s="615"/>
      <c r="O262" s="618">
        <f>SUM(O260:O261)</f>
        <v>0</v>
      </c>
      <c r="P262" s="623"/>
      <c r="Q262" s="686">
        <f>SUM(Q260:Q261)</f>
        <v>0</v>
      </c>
      <c r="R262" s="570" t="s">
        <v>316</v>
      </c>
      <c r="S262" s="618">
        <f>SUM(S260:S261)</f>
        <v>0</v>
      </c>
      <c r="T262" s="623">
        <f>ROUND($S262,0)</f>
        <v>0</v>
      </c>
      <c r="U262" s="623">
        <f>ROUND($S262,0)</f>
        <v>0</v>
      </c>
      <c r="V262" s="619">
        <f t="shared" si="72"/>
        <v>0</v>
      </c>
    </row>
    <row r="263" spans="1:22" ht="18" hidden="1" customHeight="1" outlineLevel="1">
      <c r="A263" s="796"/>
      <c r="F263" s="638"/>
      <c r="G263" s="638"/>
      <c r="H263" s="638"/>
      <c r="I263" s="638"/>
      <c r="J263" s="638"/>
      <c r="K263" s="638"/>
      <c r="L263" s="638"/>
      <c r="O263" s="682"/>
      <c r="P263" s="682"/>
      <c r="Q263" s="682"/>
      <c r="S263" s="682"/>
      <c r="T263" s="682"/>
      <c r="U263" s="682"/>
      <c r="V263" s="619">
        <f t="shared" si="72"/>
        <v>0</v>
      </c>
    </row>
    <row r="264" spans="1:22" ht="18" hidden="1" customHeight="1" outlineLevel="1">
      <c r="A264" s="758" t="s">
        <v>543</v>
      </c>
      <c r="B264" s="547" t="s">
        <v>331</v>
      </c>
      <c r="F264" s="638"/>
      <c r="G264" s="648"/>
      <c r="H264" s="648"/>
      <c r="I264" s="648"/>
      <c r="J264" s="648"/>
      <c r="K264" s="648"/>
      <c r="L264" s="638">
        <f>J264-K264</f>
        <v>0</v>
      </c>
      <c r="M264" s="571">
        <f>ROUND(G264+H264+(F264/F$6)+(I264/I$6)+(L264/L$6),2)</f>
        <v>0</v>
      </c>
      <c r="N264" s="577">
        <f>VLOOKUP($B264,weights,2,FALSE)</f>
        <v>1.1379999999999999</v>
      </c>
      <c r="O264" s="755">
        <f>ROUND(M264*N264*$O$6,2)</f>
        <v>0</v>
      </c>
      <c r="P264" s="682" t="s">
        <v>315</v>
      </c>
      <c r="Q264" s="619"/>
      <c r="R264" s="554" t="s">
        <v>316</v>
      </c>
      <c r="S264" s="755">
        <f>Q264+O264</f>
        <v>0</v>
      </c>
      <c r="T264" s="682"/>
      <c r="U264" s="682"/>
      <c r="V264" s="619">
        <f t="shared" si="72"/>
        <v>0</v>
      </c>
    </row>
    <row r="265" spans="1:22" ht="18" hidden="1" customHeight="1" outlineLevel="1">
      <c r="A265" s="715"/>
      <c r="F265" s="638"/>
      <c r="G265" s="638"/>
      <c r="H265" s="638"/>
      <c r="I265" s="638"/>
      <c r="J265" s="638"/>
      <c r="K265" s="638"/>
      <c r="L265" s="638"/>
      <c r="O265" s="807"/>
      <c r="P265" s="682"/>
      <c r="Q265" s="682"/>
      <c r="S265" s="807"/>
      <c r="T265" s="682"/>
      <c r="U265" s="682"/>
      <c r="V265" s="619">
        <f t="shared" si="72"/>
        <v>0</v>
      </c>
    </row>
    <row r="266" spans="1:22" ht="18" hidden="1" customHeight="1" outlineLevel="1">
      <c r="A266" s="757" t="s">
        <v>529</v>
      </c>
      <c r="B266" s="610"/>
      <c r="C266" s="610" t="s">
        <v>332</v>
      </c>
      <c r="D266" s="671"/>
      <c r="E266" s="671"/>
      <c r="F266" s="613">
        <f>SUM(F264:F265)</f>
        <v>0</v>
      </c>
      <c r="G266" s="793"/>
      <c r="H266" s="793"/>
      <c r="I266" s="793"/>
      <c r="J266" s="793"/>
      <c r="K266" s="793"/>
      <c r="L266" s="613">
        <f>SUM(L264:L265)</f>
        <v>0</v>
      </c>
      <c r="M266" s="673">
        <f>SUM(M264:M265)</f>
        <v>0</v>
      </c>
      <c r="N266" s="615"/>
      <c r="O266" s="618">
        <f>SUM(O264:O265)</f>
        <v>0</v>
      </c>
      <c r="P266" s="623"/>
      <c r="Q266" s="686">
        <f>SUM(Q264:Q265)</f>
        <v>0</v>
      </c>
      <c r="R266" s="570" t="s">
        <v>316</v>
      </c>
      <c r="S266" s="817">
        <f>SUM(S264:S265)</f>
        <v>0</v>
      </c>
      <c r="T266" s="682"/>
      <c r="U266" s="682"/>
      <c r="V266" s="619">
        <f t="shared" si="72"/>
        <v>0</v>
      </c>
    </row>
    <row r="267" spans="1:22" ht="18" hidden="1" customHeight="1" outlineLevel="1">
      <c r="O267" s="682"/>
      <c r="P267" s="682"/>
      <c r="Q267" s="682"/>
      <c r="S267" s="682"/>
      <c r="T267" s="682"/>
      <c r="U267" s="682"/>
      <c r="V267" s="619">
        <f t="shared" si="72"/>
        <v>0</v>
      </c>
    </row>
    <row r="268" spans="1:22" ht="18" hidden="1" customHeight="1" outlineLevel="1">
      <c r="A268" s="758" t="s">
        <v>544</v>
      </c>
      <c r="B268" s="547" t="s">
        <v>531</v>
      </c>
      <c r="F268" s="648"/>
      <c r="G268" s="648"/>
      <c r="H268" s="648"/>
      <c r="I268" s="638"/>
      <c r="J268" s="638"/>
      <c r="K268" s="638">
        <v>0</v>
      </c>
      <c r="L268" s="638">
        <f>J268-K268</f>
        <v>0</v>
      </c>
      <c r="M268" s="571">
        <f>ROUND(G268+H268+(F268/F$6)+(I268/I$6)+(L268/L$6),2)</f>
        <v>0</v>
      </c>
      <c r="N268" s="577">
        <f>VLOOKUP($B268,weights,2,FALSE)</f>
        <v>1.1379999999999999</v>
      </c>
      <c r="O268" s="755">
        <f>ROUND(M268*N268*$O$6,2)</f>
        <v>0</v>
      </c>
      <c r="P268" s="682" t="s">
        <v>315</v>
      </c>
      <c r="Q268" s="619"/>
      <c r="R268" s="554" t="s">
        <v>316</v>
      </c>
      <c r="S268" s="755">
        <f>Q268+O268</f>
        <v>0</v>
      </c>
      <c r="T268" s="682"/>
      <c r="U268" s="682"/>
      <c r="V268" s="619">
        <f t="shared" si="72"/>
        <v>0</v>
      </c>
    </row>
    <row r="269" spans="1:22" ht="18" hidden="1" customHeight="1" outlineLevel="1">
      <c r="A269" s="715"/>
      <c r="F269" s="638"/>
      <c r="G269" s="638"/>
      <c r="H269" s="638"/>
      <c r="I269" s="638"/>
      <c r="J269" s="638"/>
      <c r="K269" s="638"/>
      <c r="L269" s="638"/>
      <c r="O269" s="807"/>
      <c r="P269" s="682"/>
      <c r="Q269" s="682"/>
      <c r="S269" s="807"/>
      <c r="T269" s="682"/>
      <c r="U269" s="682"/>
      <c r="V269" s="619">
        <f t="shared" si="72"/>
        <v>0</v>
      </c>
    </row>
    <row r="270" spans="1:22" ht="18" hidden="1" customHeight="1" outlineLevel="1">
      <c r="A270" s="757" t="s">
        <v>532</v>
      </c>
      <c r="B270" s="610"/>
      <c r="C270" s="610" t="s">
        <v>533</v>
      </c>
      <c r="D270" s="671"/>
      <c r="E270" s="671"/>
      <c r="F270" s="793"/>
      <c r="G270" s="793"/>
      <c r="H270" s="793"/>
      <c r="I270" s="613">
        <f>SUM(I268:I269)</f>
        <v>0</v>
      </c>
      <c r="J270" s="613">
        <f>SUM(J268:J269)</f>
        <v>0</v>
      </c>
      <c r="K270" s="613">
        <f>SUM(K268:K269)</f>
        <v>0</v>
      </c>
      <c r="L270" s="613">
        <f>SUM(L268:L269)</f>
        <v>0</v>
      </c>
      <c r="M270" s="673">
        <f>SUM(M268:M269)</f>
        <v>0</v>
      </c>
      <c r="N270" s="615"/>
      <c r="O270" s="618">
        <f>SUM(O268:O269)</f>
        <v>0</v>
      </c>
      <c r="P270" s="623"/>
      <c r="Q270" s="686">
        <f>SUM(Q268:Q269)</f>
        <v>0</v>
      </c>
      <c r="R270" s="570" t="s">
        <v>316</v>
      </c>
      <c r="S270" s="618">
        <f>SUM(S268:S269)</f>
        <v>0</v>
      </c>
      <c r="T270" s="623">
        <f>ROUND($S270+$S266,0)</f>
        <v>0</v>
      </c>
      <c r="U270" s="623">
        <f>ROUND($S270+$S266,0)</f>
        <v>0</v>
      </c>
      <c r="V270" s="619">
        <f t="shared" si="72"/>
        <v>0</v>
      </c>
    </row>
    <row r="271" spans="1:22" ht="18" hidden="1" customHeight="1" outlineLevel="1">
      <c r="A271" s="758"/>
      <c r="F271" s="712"/>
      <c r="G271" s="712"/>
      <c r="H271" s="712"/>
      <c r="I271" s="712"/>
      <c r="J271" s="638"/>
      <c r="K271" s="638"/>
      <c r="L271" s="638"/>
      <c r="O271" s="682"/>
      <c r="P271" s="682"/>
      <c r="Q271" s="682"/>
      <c r="S271" s="682"/>
      <c r="T271" s="682"/>
      <c r="U271" s="682"/>
      <c r="V271" s="619">
        <f t="shared" ref="V271:V282" si="74">T271+U271</f>
        <v>0</v>
      </c>
    </row>
    <row r="272" spans="1:22" ht="18" hidden="1" customHeight="1" outlineLevel="1" thickBot="1">
      <c r="A272" s="819" t="s">
        <v>545</v>
      </c>
      <c r="B272" s="658" t="s">
        <v>335</v>
      </c>
      <c r="C272" s="678" t="s">
        <v>336</v>
      </c>
      <c r="D272" s="801"/>
      <c r="E272" s="801"/>
      <c r="F272" s="612"/>
      <c r="G272" s="612"/>
      <c r="H272" s="612"/>
      <c r="I272" s="613"/>
      <c r="J272" s="613"/>
      <c r="K272" s="613">
        <v>0</v>
      </c>
      <c r="L272" s="613">
        <f>J272-K272</f>
        <v>0</v>
      </c>
      <c r="M272" s="625">
        <f>ROUND(G272+H272+(F272/F$6)+(I272/I$6)+(L272/L$6),2)</f>
        <v>0</v>
      </c>
      <c r="N272" s="615">
        <f>VLOOKUP($B272,weights,2,FALSE)</f>
        <v>1.7210000000000001</v>
      </c>
      <c r="O272" s="620">
        <f>ROUND(M272*N272*$O$6,2)</f>
        <v>0</v>
      </c>
      <c r="P272" s="623" t="s">
        <v>315</v>
      </c>
      <c r="Q272" s="621"/>
      <c r="R272" s="570" t="s">
        <v>316</v>
      </c>
      <c r="S272" s="622">
        <f>Q272+O272</f>
        <v>0</v>
      </c>
      <c r="T272" s="623">
        <f>ROUND($S272,0)</f>
        <v>0</v>
      </c>
      <c r="U272" s="623">
        <f>ROUND($S272,0)</f>
        <v>0</v>
      </c>
      <c r="V272" s="619">
        <f t="shared" si="74"/>
        <v>0</v>
      </c>
    </row>
    <row r="273" spans="1:22" ht="18" customHeight="1" collapsed="1" thickBot="1">
      <c r="A273" s="820" t="s">
        <v>556</v>
      </c>
      <c r="B273" s="721" t="s">
        <v>324</v>
      </c>
      <c r="C273" s="803" t="s">
        <v>557</v>
      </c>
      <c r="D273" s="804"/>
      <c r="E273" s="804"/>
      <c r="F273" s="723">
        <f>F255</f>
        <v>0</v>
      </c>
      <c r="G273" s="723">
        <f>G255</f>
        <v>120</v>
      </c>
      <c r="H273" s="723">
        <f t="shared" ref="H273:L273" si="75">H255</f>
        <v>0</v>
      </c>
      <c r="I273" s="723">
        <f t="shared" si="75"/>
        <v>0</v>
      </c>
      <c r="J273" s="723">
        <f t="shared" si="75"/>
        <v>0</v>
      </c>
      <c r="K273" s="723">
        <f t="shared" si="75"/>
        <v>0</v>
      </c>
      <c r="L273" s="723">
        <f t="shared" si="75"/>
        <v>0</v>
      </c>
      <c r="M273" s="630">
        <f>M255</f>
        <v>120</v>
      </c>
      <c r="N273" s="825"/>
      <c r="O273" s="632">
        <f>O270+O266+O262+O258+O255+O272</f>
        <v>5525942.8300000001</v>
      </c>
      <c r="P273" s="827"/>
      <c r="Q273" s="637">
        <f>Q270+Q266+Q262+Q258+Q255+Q272</f>
        <v>0</v>
      </c>
      <c r="R273" s="743"/>
      <c r="S273" s="632">
        <f>S270+S266+S262+S258+S255+S272</f>
        <v>5525942.8300000001</v>
      </c>
      <c r="T273" s="637">
        <f>T270+T266+T262+T258+T255+T272</f>
        <v>5525943</v>
      </c>
      <c r="U273" s="637">
        <f>U270+U266+U262+U258+U255+U272</f>
        <v>5525943</v>
      </c>
      <c r="V273" s="619">
        <f t="shared" si="74"/>
        <v>11051886</v>
      </c>
    </row>
    <row r="274" spans="1:22" ht="18" customHeight="1">
      <c r="F274" s="638"/>
      <c r="G274" s="638"/>
      <c r="H274" s="638"/>
      <c r="I274" s="638"/>
      <c r="J274" s="638"/>
      <c r="K274" s="638"/>
      <c r="L274" s="638"/>
      <c r="M274" s="571" t="str">
        <f>IF(M273=NewData!Q99,"","Error")</f>
        <v/>
      </c>
      <c r="O274" s="639"/>
      <c r="V274" s="619"/>
    </row>
    <row r="275" spans="1:22" ht="23.4" customHeight="1">
      <c r="A275" s="605" t="s">
        <v>811</v>
      </c>
      <c r="B275" s="606"/>
      <c r="C275" s="606"/>
      <c r="D275" s="641"/>
      <c r="E275" s="641"/>
      <c r="F275" s="642"/>
      <c r="G275" s="642"/>
      <c r="H275" s="642"/>
      <c r="I275" s="642"/>
      <c r="S275" s="755"/>
      <c r="T275" s="619"/>
      <c r="V275" s="619"/>
    </row>
    <row r="276" spans="1:22" ht="18" customHeight="1" thickBot="1">
      <c r="A276" s="756" t="s">
        <v>554</v>
      </c>
      <c r="B276" s="610" t="s">
        <v>312</v>
      </c>
      <c r="C276" s="610"/>
      <c r="D276" s="611" t="s">
        <v>561</v>
      </c>
      <c r="E276" s="671"/>
      <c r="F276" s="612"/>
      <c r="G276" s="613">
        <f>VLOOKUP(D276,collegecode,8,FALSE)</f>
        <v>330</v>
      </c>
      <c r="H276" s="612"/>
      <c r="I276" s="612"/>
      <c r="J276" s="612"/>
      <c r="K276" s="612"/>
      <c r="L276" s="613">
        <f>J276-K276</f>
        <v>0</v>
      </c>
      <c r="M276" s="625">
        <f>ROUND(G276+H276+(F276/F$6)+(I276/I$6)+(L276/L$6),2)</f>
        <v>330</v>
      </c>
      <c r="N276" s="615">
        <f>VLOOKUP($B276,weights,2,FALSE)</f>
        <v>4.7530000000000001</v>
      </c>
      <c r="O276" s="616">
        <f>ROUND(M276*N276*$O$6,2)</f>
        <v>15196342.789999999</v>
      </c>
      <c r="P276" s="623" t="s">
        <v>315</v>
      </c>
      <c r="Q276" s="617"/>
      <c r="R276" s="570" t="s">
        <v>316</v>
      </c>
      <c r="S276" s="616">
        <f>Q276+O276</f>
        <v>15196342.789999999</v>
      </c>
      <c r="T276" s="623">
        <f>ROUND($S276,0)</f>
        <v>15196343</v>
      </c>
      <c r="U276" s="623">
        <f>ROUND($S276,0)</f>
        <v>15196343</v>
      </c>
      <c r="V276" s="619">
        <f>T276+U276</f>
        <v>30392686</v>
      </c>
    </row>
    <row r="277" spans="1:22" ht="18" customHeight="1" thickBot="1">
      <c r="A277" s="757" t="s">
        <v>429</v>
      </c>
      <c r="B277" s="610"/>
      <c r="C277" s="610" t="s">
        <v>313</v>
      </c>
      <c r="D277" s="671"/>
      <c r="E277" s="671"/>
      <c r="F277" s="793"/>
      <c r="G277" s="672">
        <f>SUM(G276:G276)</f>
        <v>330</v>
      </c>
      <c r="H277" s="793"/>
      <c r="I277" s="793"/>
      <c r="J277" s="793"/>
      <c r="K277" s="793"/>
      <c r="L277" s="684">
        <f>SUM(L276:L276)</f>
        <v>0</v>
      </c>
      <c r="M277" s="840">
        <f>SUM(M276:M276)</f>
        <v>330</v>
      </c>
      <c r="N277" s="736"/>
      <c r="O277" s="618">
        <f>SUM(O276:O276)</f>
        <v>15196342.789999999</v>
      </c>
      <c r="P277" s="623"/>
      <c r="Q277" s="686">
        <f>SUM(Q276:Q276)</f>
        <v>0</v>
      </c>
      <c r="R277" s="570"/>
      <c r="S277" s="618">
        <f>SUM(S276:S276)</f>
        <v>15196342.789999999</v>
      </c>
      <c r="T277" s="686">
        <f>ROUND($S277,0)</f>
        <v>15196343</v>
      </c>
      <c r="U277" s="686">
        <f>ROUND($S277,0)</f>
        <v>15196343</v>
      </c>
      <c r="V277" s="619">
        <f>T277+U277</f>
        <v>30392686</v>
      </c>
    </row>
    <row r="278" spans="1:22" ht="19.5" customHeight="1" collapsed="1" thickBot="1">
      <c r="A278" s="820" t="s">
        <v>812</v>
      </c>
      <c r="B278" s="721" t="s">
        <v>324</v>
      </c>
      <c r="C278" s="803" t="s">
        <v>810</v>
      </c>
      <c r="D278" s="804"/>
      <c r="E278" s="804"/>
      <c r="F278" s="723">
        <f t="shared" ref="F278" si="76">F274+F270+F266+F262+F258+F254+F276</f>
        <v>0</v>
      </c>
      <c r="G278" s="723">
        <f>G277</f>
        <v>330</v>
      </c>
      <c r="H278" s="723">
        <f t="shared" ref="H278:L278" si="77">H277</f>
        <v>0</v>
      </c>
      <c r="I278" s="723">
        <f t="shared" si="77"/>
        <v>0</v>
      </c>
      <c r="J278" s="723">
        <f t="shared" si="77"/>
        <v>0</v>
      </c>
      <c r="K278" s="723">
        <f t="shared" si="77"/>
        <v>0</v>
      </c>
      <c r="L278" s="723">
        <f t="shared" si="77"/>
        <v>0</v>
      </c>
      <c r="M278" s="630">
        <f>M277</f>
        <v>330</v>
      </c>
      <c r="N278" s="825"/>
      <c r="O278" s="632">
        <f>O277</f>
        <v>15196342.789999999</v>
      </c>
      <c r="P278" s="827"/>
      <c r="Q278" s="637">
        <f>Q277</f>
        <v>0</v>
      </c>
      <c r="R278" s="743"/>
      <c r="S278" s="632">
        <f>S277</f>
        <v>15196342.789999999</v>
      </c>
      <c r="T278" s="637">
        <f>T277</f>
        <v>15196343</v>
      </c>
      <c r="U278" s="637">
        <f>U277</f>
        <v>15196343</v>
      </c>
      <c r="V278" s="619">
        <f t="shared" ref="V278" si="78">T278+U278</f>
        <v>30392686</v>
      </c>
    </row>
    <row r="279" spans="1:22" ht="18" customHeight="1" thickBot="1">
      <c r="F279" s="638"/>
      <c r="G279" s="638"/>
      <c r="H279" s="638"/>
      <c r="I279" s="638"/>
      <c r="J279" s="638"/>
      <c r="K279" s="638"/>
      <c r="L279" s="638"/>
      <c r="O279" s="639"/>
      <c r="V279" s="619"/>
    </row>
    <row r="280" spans="1:22" ht="18" customHeight="1" thickBot="1">
      <c r="A280" s="828" t="s">
        <v>558</v>
      </c>
      <c r="B280" s="721" t="s">
        <v>324</v>
      </c>
      <c r="C280" s="721"/>
      <c r="D280" s="722"/>
      <c r="E280" s="722"/>
      <c r="F280" s="723">
        <f t="shared" ref="F280:M280" si="79">SUMIF($B$9:$B$279,$B$280,F$9:F$280)</f>
        <v>179922</v>
      </c>
      <c r="G280" s="723">
        <f t="shared" si="79"/>
        <v>8773</v>
      </c>
      <c r="H280" s="723">
        <f t="shared" si="79"/>
        <v>293</v>
      </c>
      <c r="I280" s="723">
        <f t="shared" si="79"/>
        <v>247807</v>
      </c>
      <c r="J280" s="723">
        <f t="shared" si="79"/>
        <v>81650</v>
      </c>
      <c r="K280" s="723">
        <f t="shared" si="79"/>
        <v>1806</v>
      </c>
      <c r="L280" s="724">
        <f t="shared" si="79"/>
        <v>79844</v>
      </c>
      <c r="M280" s="630">
        <f t="shared" si="79"/>
        <v>29824.499999999996</v>
      </c>
      <c r="N280" s="741"/>
      <c r="O280" s="938">
        <f>SUMIF($B$9:$B$279,$B$280,O$9:O$280)</f>
        <v>658370154.33000016</v>
      </c>
      <c r="P280" s="742" t="s">
        <v>315</v>
      </c>
      <c r="Q280" s="637">
        <f>SUMIF($B$9:$B$279,$B$280,Q$9:Q$280)</f>
        <v>21422553</v>
      </c>
      <c r="R280" s="743" t="s">
        <v>316</v>
      </c>
      <c r="S280" s="938">
        <f>SUMIF($B$9:$B$279,$B$280,S$9:S$280)</f>
        <v>679792707.33000016</v>
      </c>
      <c r="T280" s="637">
        <f>SUMIF($B$9:$B$279,$B$280,T$9:T$280)</f>
        <v>679792710</v>
      </c>
      <c r="U280" s="637">
        <f>SUMIF($B$9:$B$279,$B$280,U$9:U$280)</f>
        <v>679792710</v>
      </c>
      <c r="V280" s="619">
        <f t="shared" si="74"/>
        <v>1359585420</v>
      </c>
    </row>
    <row r="281" spans="1:22" ht="18" customHeight="1">
      <c r="S281" s="755"/>
      <c r="T281" s="619"/>
      <c r="V281" s="619"/>
    </row>
    <row r="282" spans="1:22" s="575" customFormat="1" ht="21" customHeight="1">
      <c r="A282" s="803" t="s">
        <v>559</v>
      </c>
      <c r="B282" s="829"/>
      <c r="C282" s="829"/>
      <c r="D282" s="830"/>
      <c r="E282" s="830"/>
      <c r="F282" s="829"/>
      <c r="G282" s="829"/>
      <c r="H282" s="829"/>
      <c r="I282" s="829"/>
      <c r="J282" s="829"/>
      <c r="K282" s="829"/>
      <c r="L282" s="829"/>
      <c r="M282" s="831"/>
      <c r="N282" s="832"/>
      <c r="O282" s="829"/>
      <c r="P282" s="833"/>
      <c r="Q282" s="829"/>
      <c r="R282" s="834"/>
      <c r="S282" s="835"/>
      <c r="T282" s="836"/>
      <c r="U282" s="837">
        <f>T280+U280</f>
        <v>1359585420</v>
      </c>
      <c r="V282" s="619">
        <f t="shared" si="74"/>
        <v>1359585420</v>
      </c>
    </row>
    <row r="283" spans="1:22" ht="18" customHeight="1">
      <c r="A283" s="547" t="s">
        <v>560</v>
      </c>
      <c r="S283" s="755"/>
      <c r="T283" s="619"/>
      <c r="V283" s="619"/>
    </row>
    <row r="284" spans="1:22" ht="18" customHeight="1">
      <c r="S284" s="755"/>
      <c r="T284" s="619"/>
      <c r="V284" s="619"/>
    </row>
    <row r="285" spans="1:22" s="839" customFormat="1" ht="20.100000000000001" hidden="1" customHeight="1">
      <c r="A285" s="32"/>
      <c r="B285" s="838"/>
      <c r="C285" s="838"/>
      <c r="D285" s="838"/>
      <c r="E285" s="838"/>
      <c r="F285" s="838"/>
      <c r="G285" s="838"/>
      <c r="U285" s="753"/>
      <c r="V285" s="619"/>
    </row>
    <row r="286" spans="1:22" ht="18" customHeight="1">
      <c r="A286" s="755" t="s">
        <v>562</v>
      </c>
      <c r="F286" s="638"/>
      <c r="G286" s="638"/>
      <c r="H286" s="638"/>
      <c r="I286" s="638"/>
      <c r="J286" s="638"/>
      <c r="K286" s="638"/>
      <c r="L286" s="638"/>
      <c r="N286" s="727"/>
      <c r="O286" s="698"/>
      <c r="P286" s="841"/>
      <c r="Q286" s="698"/>
      <c r="U286" s="619"/>
    </row>
    <row r="287" spans="1:22" ht="18" customHeight="1">
      <c r="A287" s="842"/>
      <c r="B287" s="547" t="s">
        <v>563</v>
      </c>
      <c r="M287" s="640"/>
      <c r="N287" s="727"/>
      <c r="O287" s="732"/>
      <c r="P287" s="841"/>
      <c r="Q287" s="728"/>
      <c r="S287" s="732"/>
      <c r="T287" s="728"/>
      <c r="U287" s="728"/>
    </row>
    <row r="288" spans="1:22" ht="18" customHeight="1">
      <c r="A288" s="843"/>
      <c r="B288" s="547" t="s">
        <v>564</v>
      </c>
      <c r="M288" s="640"/>
      <c r="N288" s="727"/>
      <c r="O288" s="698"/>
      <c r="P288" s="841"/>
      <c r="Q288" s="728"/>
      <c r="U288" s="619"/>
    </row>
    <row r="289" spans="1:21" ht="18" customHeight="1">
      <c r="N289" s="727"/>
      <c r="O289" s="844"/>
      <c r="P289" s="841"/>
      <c r="Q289" s="728"/>
      <c r="S289" s="755"/>
      <c r="T289" s="619"/>
    </row>
    <row r="290" spans="1:21" ht="18" customHeight="1">
      <c r="T290" s="954" t="s">
        <v>565</v>
      </c>
      <c r="U290" s="954"/>
    </row>
    <row r="291" spans="1:21" ht="18" customHeight="1">
      <c r="A291" s="845" t="s">
        <v>233</v>
      </c>
      <c r="T291" s="955" t="s">
        <v>566</v>
      </c>
      <c r="U291" s="955"/>
    </row>
    <row r="292" spans="1:21" ht="18" customHeight="1">
      <c r="A292" s="846" t="s">
        <v>240</v>
      </c>
      <c r="B292" s="547" t="s">
        <v>320</v>
      </c>
      <c r="C292" s="547" t="s">
        <v>321</v>
      </c>
      <c r="F292" s="571">
        <f t="shared" ref="F292:F300" si="80">ROUND((SUMIF($B$10:$B$279,$B292,F$10:F$279)/F$6),2)</f>
        <v>1130.97</v>
      </c>
      <c r="G292" s="638">
        <f t="shared" ref="G292:H300" si="81">ROUND(SUMIF($B$10:$B$279,$B292,G$10:G$279),2)</f>
        <v>0</v>
      </c>
      <c r="H292" s="638">
        <f t="shared" si="81"/>
        <v>0</v>
      </c>
      <c r="I292" s="571">
        <f t="shared" ref="I292:I300" si="82">ROUND((SUMIF($B$10:$B$279,$B292,I$10:I$279)/I$6),2)</f>
        <v>4393.46</v>
      </c>
      <c r="L292" s="571">
        <f t="shared" ref="L292:L300" si="83">ROUND((SUMIF($B$10:$B$279,$B292,L$10:L$279)/L$6),2)</f>
        <v>1074.72</v>
      </c>
      <c r="M292" s="571">
        <f t="shared" ref="M292:M300" si="84">SUMIF($B$10:$B$279,$B292,M$10:M$279)</f>
        <v>6599.14</v>
      </c>
      <c r="O292" s="571"/>
      <c r="Q292" s="619">
        <f t="shared" ref="Q292:Q300" si="85">SUMIF($C$8:$C$279,$C292,Q$8:Q$279)</f>
        <v>3326155</v>
      </c>
      <c r="S292" s="847">
        <f t="shared" ref="S292:U300" si="86">SUMIF($C$8:$C$279,$C292,S$8:S$279)</f>
        <v>67262038.269999996</v>
      </c>
      <c r="T292" s="769">
        <f t="shared" si="86"/>
        <v>67262039</v>
      </c>
      <c r="U292" s="769">
        <f t="shared" si="86"/>
        <v>67262039</v>
      </c>
    </row>
    <row r="293" spans="1:21" ht="18" customHeight="1">
      <c r="A293" s="846" t="s">
        <v>241</v>
      </c>
      <c r="B293" s="547" t="s">
        <v>317</v>
      </c>
      <c r="C293" s="547" t="s">
        <v>318</v>
      </c>
      <c r="F293" s="571">
        <f t="shared" si="80"/>
        <v>10.43</v>
      </c>
      <c r="G293" s="638">
        <f t="shared" si="81"/>
        <v>0</v>
      </c>
      <c r="H293" s="638">
        <f t="shared" si="81"/>
        <v>0</v>
      </c>
      <c r="I293" s="571">
        <f t="shared" si="82"/>
        <v>1109.79</v>
      </c>
      <c r="L293" s="571">
        <f t="shared" si="83"/>
        <v>1845.11</v>
      </c>
      <c r="M293" s="571">
        <f t="shared" si="84"/>
        <v>2965.3300000000004</v>
      </c>
      <c r="O293" s="571"/>
      <c r="Q293" s="682">
        <f t="shared" si="85"/>
        <v>2508130</v>
      </c>
      <c r="S293" s="807">
        <f t="shared" si="86"/>
        <v>31754915.270000003</v>
      </c>
      <c r="T293" s="798">
        <f t="shared" si="86"/>
        <v>31754914</v>
      </c>
      <c r="U293" s="798">
        <f t="shared" si="86"/>
        <v>31754914</v>
      </c>
    </row>
    <row r="294" spans="1:21" ht="18" customHeight="1">
      <c r="A294" s="846" t="s">
        <v>242</v>
      </c>
      <c r="B294" s="547" t="s">
        <v>354</v>
      </c>
      <c r="C294" s="547" t="s">
        <v>355</v>
      </c>
      <c r="F294" s="571">
        <f t="shared" si="80"/>
        <v>0</v>
      </c>
      <c r="G294" s="638">
        <f t="shared" si="81"/>
        <v>0</v>
      </c>
      <c r="H294" s="638">
        <f t="shared" si="81"/>
        <v>0</v>
      </c>
      <c r="I294" s="571">
        <f t="shared" si="82"/>
        <v>154.66999999999999</v>
      </c>
      <c r="L294" s="571">
        <f t="shared" si="83"/>
        <v>53.44</v>
      </c>
      <c r="M294" s="571">
        <f t="shared" si="84"/>
        <v>208.11</v>
      </c>
      <c r="O294" s="571"/>
      <c r="Q294" s="682">
        <f t="shared" si="85"/>
        <v>0</v>
      </c>
      <c r="S294" s="807">
        <f t="shared" si="86"/>
        <v>3528485.4</v>
      </c>
      <c r="T294" s="798">
        <f t="shared" si="86"/>
        <v>3528485</v>
      </c>
      <c r="U294" s="798">
        <f t="shared" si="86"/>
        <v>3528485</v>
      </c>
    </row>
    <row r="295" spans="1:21" ht="18" customHeight="1">
      <c r="A295" s="846" t="s">
        <v>278</v>
      </c>
      <c r="B295" s="547" t="s">
        <v>331</v>
      </c>
      <c r="C295" s="547" t="s">
        <v>332</v>
      </c>
      <c r="F295" s="571">
        <f t="shared" si="80"/>
        <v>4334.2</v>
      </c>
      <c r="G295" s="638">
        <f t="shared" si="81"/>
        <v>0</v>
      </c>
      <c r="H295" s="638">
        <f t="shared" si="81"/>
        <v>0</v>
      </c>
      <c r="I295" s="571">
        <f t="shared" si="82"/>
        <v>1063.08</v>
      </c>
      <c r="L295" s="571">
        <f t="shared" si="83"/>
        <v>901.5</v>
      </c>
      <c r="M295" s="571">
        <f t="shared" si="84"/>
        <v>6298.7899999999991</v>
      </c>
      <c r="O295" s="571"/>
      <c r="Q295" s="682">
        <f t="shared" si="85"/>
        <v>2291942</v>
      </c>
      <c r="S295" s="807">
        <f t="shared" si="86"/>
        <v>71739458.349999994</v>
      </c>
      <c r="T295" s="798">
        <f t="shared" si="86"/>
        <v>71739459</v>
      </c>
      <c r="U295" s="798">
        <f t="shared" si="86"/>
        <v>71739459</v>
      </c>
    </row>
    <row r="296" spans="1:21" ht="18" customHeight="1">
      <c r="A296" s="846" t="s">
        <v>244</v>
      </c>
      <c r="B296" s="547" t="s">
        <v>449</v>
      </c>
      <c r="C296" s="547" t="s">
        <v>454</v>
      </c>
      <c r="F296" s="571">
        <f t="shared" si="80"/>
        <v>0</v>
      </c>
      <c r="G296" s="638">
        <f t="shared" si="81"/>
        <v>0</v>
      </c>
      <c r="H296" s="638">
        <f t="shared" si="81"/>
        <v>0</v>
      </c>
      <c r="I296" s="571">
        <f t="shared" si="82"/>
        <v>2022.75</v>
      </c>
      <c r="L296" s="571">
        <f t="shared" si="83"/>
        <v>0</v>
      </c>
      <c r="M296" s="571">
        <f t="shared" si="84"/>
        <v>2022.77</v>
      </c>
      <c r="O296" s="571"/>
      <c r="Q296" s="682">
        <f t="shared" si="85"/>
        <v>1033345</v>
      </c>
      <c r="S296" s="807">
        <f t="shared" si="86"/>
        <v>33761407.989999995</v>
      </c>
      <c r="T296" s="798">
        <f t="shared" si="86"/>
        <v>33761408</v>
      </c>
      <c r="U296" s="798">
        <f t="shared" si="86"/>
        <v>33761408</v>
      </c>
    </row>
    <row r="297" spans="1:21" ht="18" customHeight="1">
      <c r="A297" s="846" t="s">
        <v>245</v>
      </c>
      <c r="B297" s="547" t="s">
        <v>335</v>
      </c>
      <c r="C297" s="547" t="s">
        <v>336</v>
      </c>
      <c r="F297" s="571">
        <f t="shared" si="80"/>
        <v>521.79999999999995</v>
      </c>
      <c r="G297" s="638">
        <f t="shared" si="81"/>
        <v>0</v>
      </c>
      <c r="H297" s="638">
        <f t="shared" si="81"/>
        <v>0</v>
      </c>
      <c r="I297" s="571">
        <f t="shared" si="82"/>
        <v>1581.54</v>
      </c>
      <c r="L297" s="571">
        <f t="shared" si="83"/>
        <v>561</v>
      </c>
      <c r="M297" s="571">
        <f t="shared" si="84"/>
        <v>2664.36</v>
      </c>
      <c r="O297" s="571"/>
      <c r="Q297" s="682">
        <f t="shared" si="85"/>
        <v>4571281</v>
      </c>
      <c r="S297" s="807">
        <f t="shared" si="86"/>
        <v>48996656.00999999</v>
      </c>
      <c r="T297" s="798">
        <f t="shared" si="86"/>
        <v>48996656</v>
      </c>
      <c r="U297" s="798">
        <f t="shared" si="86"/>
        <v>48996656</v>
      </c>
    </row>
    <row r="298" spans="1:21" ht="18" customHeight="1">
      <c r="A298" s="846" t="s">
        <v>246</v>
      </c>
      <c r="B298" s="547" t="s">
        <v>342</v>
      </c>
      <c r="C298" s="547" t="s">
        <v>343</v>
      </c>
      <c r="F298" s="571">
        <f t="shared" si="80"/>
        <v>0</v>
      </c>
      <c r="G298" s="638">
        <f t="shared" si="81"/>
        <v>1355</v>
      </c>
      <c r="H298" s="638">
        <f t="shared" si="81"/>
        <v>293</v>
      </c>
      <c r="I298" s="571">
        <f t="shared" si="82"/>
        <v>0</v>
      </c>
      <c r="L298" s="571">
        <f t="shared" si="83"/>
        <v>0</v>
      </c>
      <c r="M298" s="571">
        <f t="shared" si="84"/>
        <v>1648</v>
      </c>
      <c r="O298" s="571"/>
      <c r="Q298" s="682">
        <f t="shared" si="85"/>
        <v>117600</v>
      </c>
      <c r="S298" s="807">
        <f t="shared" si="86"/>
        <v>73580280.010000005</v>
      </c>
      <c r="T298" s="798">
        <f t="shared" si="86"/>
        <v>73580281</v>
      </c>
      <c r="U298" s="798">
        <f t="shared" si="86"/>
        <v>73580281</v>
      </c>
    </row>
    <row r="299" spans="1:21" ht="18" customHeight="1">
      <c r="A299" s="846" t="s">
        <v>247</v>
      </c>
      <c r="B299" s="547" t="s">
        <v>312</v>
      </c>
      <c r="C299" s="547" t="s">
        <v>313</v>
      </c>
      <c r="F299" s="571">
        <f t="shared" si="80"/>
        <v>0</v>
      </c>
      <c r="G299" s="638">
        <f t="shared" si="81"/>
        <v>7391</v>
      </c>
      <c r="H299" s="638">
        <f t="shared" si="81"/>
        <v>0</v>
      </c>
      <c r="I299" s="571">
        <f t="shared" si="82"/>
        <v>0</v>
      </c>
      <c r="L299" s="571">
        <f t="shared" si="83"/>
        <v>0</v>
      </c>
      <c r="M299" s="571">
        <f t="shared" si="84"/>
        <v>7391</v>
      </c>
      <c r="O299" s="571"/>
      <c r="Q299" s="682">
        <f t="shared" si="85"/>
        <v>7574100</v>
      </c>
      <c r="S299" s="807">
        <f t="shared" si="86"/>
        <v>347926128.88999999</v>
      </c>
      <c r="T299" s="798">
        <f t="shared" si="86"/>
        <v>347926130</v>
      </c>
      <c r="U299" s="798">
        <f t="shared" si="86"/>
        <v>347926130</v>
      </c>
    </row>
    <row r="300" spans="1:21" ht="18" customHeight="1">
      <c r="A300" s="846" t="s">
        <v>248</v>
      </c>
      <c r="B300" s="547" t="s">
        <v>547</v>
      </c>
      <c r="C300" s="547" t="s">
        <v>550</v>
      </c>
      <c r="F300" s="571">
        <f t="shared" si="80"/>
        <v>0</v>
      </c>
      <c r="G300" s="638">
        <f t="shared" si="81"/>
        <v>27</v>
      </c>
      <c r="H300" s="638">
        <f t="shared" si="81"/>
        <v>0</v>
      </c>
      <c r="I300" s="571">
        <f t="shared" si="82"/>
        <v>0</v>
      </c>
      <c r="L300" s="571">
        <f t="shared" si="83"/>
        <v>0</v>
      </c>
      <c r="M300" s="571">
        <f t="shared" si="84"/>
        <v>27</v>
      </c>
      <c r="O300" s="571"/>
      <c r="Q300" s="815">
        <f t="shared" si="85"/>
        <v>0</v>
      </c>
      <c r="R300" s="816"/>
      <c r="S300" s="848">
        <f t="shared" si="86"/>
        <v>1243337.1399999999</v>
      </c>
      <c r="T300" s="815">
        <f t="shared" si="86"/>
        <v>1243337</v>
      </c>
      <c r="U300" s="815">
        <f t="shared" si="86"/>
        <v>1243337</v>
      </c>
    </row>
    <row r="301" spans="1:21" ht="18" customHeight="1">
      <c r="A301" s="849" t="s">
        <v>249</v>
      </c>
      <c r="B301" s="849"/>
      <c r="C301" s="849"/>
      <c r="D301" s="850"/>
      <c r="E301" s="850"/>
      <c r="F301" s="851">
        <f>SUM(F292:F300)</f>
        <v>5997.4000000000005</v>
      </c>
      <c r="G301" s="851">
        <f>SUM(G292:G300)</f>
        <v>8773</v>
      </c>
      <c r="H301" s="851">
        <f>SUM(H292:H300)</f>
        <v>293</v>
      </c>
      <c r="I301" s="851">
        <f>SUM(I292:I300)</f>
        <v>10325.290000000001</v>
      </c>
      <c r="J301" s="851"/>
      <c r="K301" s="851"/>
      <c r="L301" s="851">
        <f>SUM(L292:L300)</f>
        <v>4435.7700000000004</v>
      </c>
      <c r="M301" s="851">
        <f>SUM(M292:M300)</f>
        <v>29824.5</v>
      </c>
      <c r="O301" s="571"/>
      <c r="Q301" s="619">
        <f>SUM(Q292:Q300)</f>
        <v>21422553</v>
      </c>
      <c r="R301" s="619">
        <f>SUM(R292:R300)</f>
        <v>0</v>
      </c>
      <c r="S301" s="619">
        <f>SUM(S292:S300)</f>
        <v>679792707.32999992</v>
      </c>
      <c r="T301" s="619">
        <f>SUM(T292:T300)</f>
        <v>679792709</v>
      </c>
      <c r="U301" s="619">
        <f>SUM(U292:U300)</f>
        <v>679792709</v>
      </c>
    </row>
    <row r="302" spans="1:21" ht="18" customHeight="1">
      <c r="F302" s="571"/>
      <c r="G302" s="638"/>
      <c r="H302" s="638"/>
      <c r="I302" s="571"/>
      <c r="L302" s="547" t="s">
        <v>567</v>
      </c>
      <c r="M302" s="571">
        <f>SUM(F301:L301)</f>
        <v>29824.460000000003</v>
      </c>
      <c r="O302" s="571"/>
      <c r="Q302" s="571"/>
      <c r="S302" s="847"/>
      <c r="U302" s="617">
        <f>T301+U301</f>
        <v>1359585418</v>
      </c>
    </row>
    <row r="303" spans="1:21" ht="18" customHeight="1">
      <c r="F303" s="571"/>
      <c r="G303" s="571"/>
      <c r="H303" s="571"/>
      <c r="I303" s="571"/>
      <c r="J303" s="571"/>
      <c r="K303" s="571"/>
      <c r="L303" s="571"/>
      <c r="M303" s="571">
        <f>M301-M280</f>
        <v>0</v>
      </c>
      <c r="S303" s="847"/>
      <c r="T303" s="547" t="s">
        <v>129</v>
      </c>
      <c r="U303" s="619">
        <f>U282-U302</f>
        <v>2</v>
      </c>
    </row>
    <row r="304" spans="1:21" ht="18" customHeight="1">
      <c r="G304" s="638"/>
      <c r="H304" s="638"/>
      <c r="Q304" s="682"/>
      <c r="S304" s="847"/>
      <c r="T304" s="682"/>
      <c r="U304" s="682"/>
    </row>
    <row r="305" spans="1:21" ht="18" customHeight="1">
      <c r="G305" s="638"/>
      <c r="H305" s="638"/>
      <c r="Q305" s="619"/>
      <c r="S305" s="847"/>
      <c r="T305" s="682"/>
      <c r="U305" s="682"/>
    </row>
    <row r="306" spans="1:21" ht="18" customHeight="1">
      <c r="G306" s="638"/>
      <c r="H306" s="638"/>
      <c r="O306" s="571"/>
      <c r="S306" s="847"/>
      <c r="T306" s="619"/>
      <c r="U306" s="619"/>
    </row>
    <row r="307" spans="1:21" ht="18" customHeight="1">
      <c r="A307" s="845" t="s">
        <v>568</v>
      </c>
      <c r="B307" s="852"/>
      <c r="C307" s="852"/>
      <c r="G307" s="638"/>
      <c r="H307" s="638"/>
      <c r="S307" s="847"/>
    </row>
    <row r="308" spans="1:21" ht="18" customHeight="1">
      <c r="G308" s="638"/>
      <c r="H308" s="638"/>
      <c r="S308" s="847"/>
    </row>
    <row r="309" spans="1:21" ht="18" customHeight="1">
      <c r="A309" s="846" t="s">
        <v>23</v>
      </c>
      <c r="C309" s="547" t="s">
        <v>325</v>
      </c>
      <c r="F309" s="638">
        <f t="shared" ref="F309:I322" si="87">(SUMIF($C$10:$C$279,$C309,F$10:F$279))</f>
        <v>0</v>
      </c>
      <c r="G309" s="638">
        <f t="shared" si="87"/>
        <v>923</v>
      </c>
      <c r="H309" s="638">
        <f t="shared" si="87"/>
        <v>0</v>
      </c>
      <c r="I309" s="638">
        <f t="shared" si="87"/>
        <v>16786</v>
      </c>
      <c r="L309" s="638">
        <f t="shared" ref="L309:M322" si="88">(SUMIF($C$10:$C$279,$C309,L$10:L$279))</f>
        <v>11348</v>
      </c>
      <c r="M309" s="853">
        <f t="shared" si="88"/>
        <v>2252.8599999999997</v>
      </c>
      <c r="Q309" s="619">
        <f t="shared" ref="Q309:Q322" si="89">SUMIF($C$8:$C$279,$C309,Q$8:Q$279)</f>
        <v>0</v>
      </c>
      <c r="S309" s="847">
        <f t="shared" ref="S309:U322" si="90">SUMIF($C$8:$C$279,$C309,S$8:S$279)</f>
        <v>55528369.350000001</v>
      </c>
      <c r="T309" s="619">
        <f t="shared" si="90"/>
        <v>55528369</v>
      </c>
      <c r="U309" s="619">
        <f t="shared" si="90"/>
        <v>55528369</v>
      </c>
    </row>
    <row r="310" spans="1:21" ht="18" customHeight="1">
      <c r="A310" s="846" t="s">
        <v>76</v>
      </c>
      <c r="C310" s="547" t="s">
        <v>339</v>
      </c>
      <c r="F310" s="638">
        <f t="shared" si="87"/>
        <v>22208</v>
      </c>
      <c r="G310" s="638">
        <f t="shared" si="87"/>
        <v>935</v>
      </c>
      <c r="H310" s="638">
        <f t="shared" si="87"/>
        <v>0</v>
      </c>
      <c r="I310" s="638">
        <f t="shared" si="87"/>
        <v>31909</v>
      </c>
      <c r="L310" s="638">
        <f t="shared" si="88"/>
        <v>13134</v>
      </c>
      <c r="M310" s="853">
        <f t="shared" si="88"/>
        <v>3734.47</v>
      </c>
      <c r="Q310" s="682">
        <f t="shared" si="89"/>
        <v>0</v>
      </c>
      <c r="S310" s="807">
        <f t="shared" si="90"/>
        <v>72174933.329999998</v>
      </c>
      <c r="T310" s="682">
        <f t="shared" si="90"/>
        <v>72174934</v>
      </c>
      <c r="U310" s="682">
        <f t="shared" si="90"/>
        <v>72174934</v>
      </c>
    </row>
    <row r="311" spans="1:21" ht="18" customHeight="1">
      <c r="A311" s="846" t="s">
        <v>77</v>
      </c>
      <c r="C311" s="547" t="s">
        <v>377</v>
      </c>
      <c r="F311" s="638">
        <f t="shared" si="87"/>
        <v>21371</v>
      </c>
      <c r="G311" s="638">
        <f t="shared" si="87"/>
        <v>1391</v>
      </c>
      <c r="H311" s="638">
        <f t="shared" si="87"/>
        <v>95</v>
      </c>
      <c r="I311" s="638">
        <f t="shared" si="87"/>
        <v>32990</v>
      </c>
      <c r="L311" s="638">
        <f t="shared" si="88"/>
        <v>25305</v>
      </c>
      <c r="M311" s="853">
        <f t="shared" si="88"/>
        <v>4978.79</v>
      </c>
      <c r="Q311" s="682">
        <f t="shared" si="89"/>
        <v>3056174</v>
      </c>
      <c r="S311" s="807">
        <f t="shared" si="90"/>
        <v>117055699.23999999</v>
      </c>
      <c r="T311" s="682">
        <f t="shared" si="90"/>
        <v>117055699</v>
      </c>
      <c r="U311" s="682">
        <f t="shared" si="90"/>
        <v>117055699</v>
      </c>
    </row>
    <row r="312" spans="1:21" ht="18" customHeight="1">
      <c r="A312" s="846" t="s">
        <v>78</v>
      </c>
      <c r="C312" s="547" t="s">
        <v>405</v>
      </c>
      <c r="F312" s="638">
        <f t="shared" si="87"/>
        <v>28099</v>
      </c>
      <c r="G312" s="638">
        <f t="shared" si="87"/>
        <v>1293</v>
      </c>
      <c r="H312" s="638">
        <f t="shared" si="87"/>
        <v>100</v>
      </c>
      <c r="I312" s="638">
        <f t="shared" si="87"/>
        <v>22794</v>
      </c>
      <c r="L312" s="638">
        <f t="shared" si="88"/>
        <v>14779</v>
      </c>
      <c r="M312" s="853">
        <f t="shared" si="88"/>
        <v>4100.4400000000005</v>
      </c>
      <c r="Q312" s="682">
        <f t="shared" si="89"/>
        <v>842968</v>
      </c>
      <c r="S312" s="807">
        <f t="shared" si="90"/>
        <v>91677353.24000001</v>
      </c>
      <c r="T312" s="682">
        <f t="shared" si="90"/>
        <v>91677354</v>
      </c>
      <c r="U312" s="682">
        <f t="shared" si="90"/>
        <v>91677354</v>
      </c>
    </row>
    <row r="313" spans="1:21" ht="18" customHeight="1">
      <c r="A313" s="846" t="s">
        <v>24</v>
      </c>
      <c r="C313" s="547" t="s">
        <v>409</v>
      </c>
      <c r="F313" s="638">
        <f t="shared" si="87"/>
        <v>10797</v>
      </c>
      <c r="G313" s="638">
        <f t="shared" si="87"/>
        <v>0</v>
      </c>
      <c r="H313" s="638">
        <f t="shared" si="87"/>
        <v>0</v>
      </c>
      <c r="I313" s="638">
        <f t="shared" si="87"/>
        <v>718</v>
      </c>
      <c r="L313" s="638">
        <f t="shared" si="88"/>
        <v>0</v>
      </c>
      <c r="M313" s="853">
        <f t="shared" si="88"/>
        <v>389.82</v>
      </c>
      <c r="Q313" s="682">
        <f t="shared" si="89"/>
        <v>0</v>
      </c>
      <c r="S313" s="807">
        <f t="shared" si="90"/>
        <v>3776777.89</v>
      </c>
      <c r="T313" s="682">
        <f t="shared" si="90"/>
        <v>3776778</v>
      </c>
      <c r="U313" s="682">
        <f t="shared" si="90"/>
        <v>3776778</v>
      </c>
    </row>
    <row r="314" spans="1:21" ht="18" customHeight="1">
      <c r="A314" s="846" t="s">
        <v>85</v>
      </c>
      <c r="C314" s="547" t="s">
        <v>415</v>
      </c>
      <c r="F314" s="638">
        <f t="shared" si="87"/>
        <v>0</v>
      </c>
      <c r="G314" s="638">
        <f t="shared" si="87"/>
        <v>0</v>
      </c>
      <c r="H314" s="638">
        <f t="shared" si="87"/>
        <v>0</v>
      </c>
      <c r="I314" s="638">
        <f t="shared" si="87"/>
        <v>1874</v>
      </c>
      <c r="L314" s="638">
        <f t="shared" si="88"/>
        <v>0</v>
      </c>
      <c r="M314" s="853">
        <f t="shared" si="88"/>
        <v>78.08</v>
      </c>
      <c r="Q314" s="682">
        <f t="shared" si="89"/>
        <v>1170664</v>
      </c>
      <c r="S314" s="807">
        <f t="shared" si="90"/>
        <v>2347991.4300000002</v>
      </c>
      <c r="T314" s="682">
        <f t="shared" si="90"/>
        <v>2347992</v>
      </c>
      <c r="U314" s="682">
        <f t="shared" si="90"/>
        <v>2347992</v>
      </c>
    </row>
    <row r="315" spans="1:21" ht="18" customHeight="1">
      <c r="A315" s="846" t="s">
        <v>79</v>
      </c>
      <c r="C315" s="547" t="s">
        <v>466</v>
      </c>
      <c r="F315" s="638">
        <f t="shared" si="87"/>
        <v>31372</v>
      </c>
      <c r="G315" s="638">
        <f t="shared" si="87"/>
        <v>1145</v>
      </c>
      <c r="H315" s="638">
        <f t="shared" si="87"/>
        <v>98</v>
      </c>
      <c r="I315" s="638">
        <f t="shared" si="87"/>
        <v>29060</v>
      </c>
      <c r="L315" s="638">
        <f t="shared" si="88"/>
        <v>3050</v>
      </c>
      <c r="M315" s="853">
        <f t="shared" si="88"/>
        <v>3669.02</v>
      </c>
      <c r="Q315" s="682">
        <f t="shared" si="89"/>
        <v>8099312</v>
      </c>
      <c r="S315" s="807">
        <f t="shared" si="90"/>
        <v>100004511.13</v>
      </c>
      <c r="T315" s="682">
        <f t="shared" si="90"/>
        <v>100004511</v>
      </c>
      <c r="U315" s="682">
        <f t="shared" si="90"/>
        <v>100004511</v>
      </c>
    </row>
    <row r="316" spans="1:21" ht="18" customHeight="1">
      <c r="A316" s="846" t="s">
        <v>80</v>
      </c>
      <c r="C316" s="547" t="s">
        <v>476</v>
      </c>
      <c r="F316" s="638">
        <f t="shared" si="87"/>
        <v>144</v>
      </c>
      <c r="G316" s="638">
        <f t="shared" si="87"/>
        <v>935</v>
      </c>
      <c r="H316" s="638">
        <f t="shared" si="87"/>
        <v>0</v>
      </c>
      <c r="I316" s="638">
        <f t="shared" si="87"/>
        <v>42511</v>
      </c>
      <c r="L316" s="638">
        <f t="shared" si="88"/>
        <v>2001</v>
      </c>
      <c r="M316" s="853">
        <f t="shared" si="88"/>
        <v>2822.2599999999998</v>
      </c>
      <c r="Q316" s="682">
        <f t="shared" si="89"/>
        <v>0</v>
      </c>
      <c r="S316" s="807">
        <f t="shared" si="90"/>
        <v>65974338.609999999</v>
      </c>
      <c r="T316" s="682">
        <f t="shared" si="90"/>
        <v>65974339</v>
      </c>
      <c r="U316" s="682">
        <f t="shared" si="90"/>
        <v>65974339</v>
      </c>
    </row>
    <row r="317" spans="1:21" ht="18" customHeight="1">
      <c r="A317" s="854" t="s">
        <v>75</v>
      </c>
      <c r="C317" s="547" t="s">
        <v>511</v>
      </c>
      <c r="F317" s="638">
        <f t="shared" si="87"/>
        <v>56274</v>
      </c>
      <c r="G317" s="638">
        <f t="shared" si="87"/>
        <v>714</v>
      </c>
      <c r="H317" s="638">
        <f t="shared" si="87"/>
        <v>0</v>
      </c>
      <c r="I317" s="638">
        <f t="shared" si="87"/>
        <v>68304</v>
      </c>
      <c r="L317" s="638">
        <f t="shared" si="88"/>
        <v>10227</v>
      </c>
      <c r="M317" s="853">
        <f t="shared" si="88"/>
        <v>6003.9800000000005</v>
      </c>
      <c r="Q317" s="682">
        <f t="shared" si="89"/>
        <v>8253435</v>
      </c>
      <c r="S317" s="807">
        <f t="shared" si="90"/>
        <v>101323270.96000001</v>
      </c>
      <c r="T317" s="682">
        <f t="shared" si="90"/>
        <v>101323271</v>
      </c>
      <c r="U317" s="682">
        <f t="shared" si="90"/>
        <v>101323271</v>
      </c>
    </row>
    <row r="318" spans="1:21" ht="18" customHeight="1">
      <c r="A318" s="854" t="s">
        <v>81</v>
      </c>
      <c r="C318" s="547" t="s">
        <v>522</v>
      </c>
      <c r="F318" s="638">
        <f t="shared" si="87"/>
        <v>9657</v>
      </c>
      <c r="G318" s="638">
        <f t="shared" si="87"/>
        <v>550</v>
      </c>
      <c r="H318" s="638">
        <f t="shared" si="87"/>
        <v>0</v>
      </c>
      <c r="I318" s="638">
        <f t="shared" si="87"/>
        <v>861</v>
      </c>
      <c r="L318" s="638">
        <f t="shared" si="88"/>
        <v>0</v>
      </c>
      <c r="M318" s="853">
        <f t="shared" si="88"/>
        <v>907.78</v>
      </c>
      <c r="Q318" s="682">
        <f t="shared" si="89"/>
        <v>0</v>
      </c>
      <c r="S318" s="807">
        <f t="shared" si="90"/>
        <v>29083534.719999999</v>
      </c>
      <c r="T318" s="682">
        <f t="shared" si="90"/>
        <v>29083535</v>
      </c>
      <c r="U318" s="682">
        <f t="shared" si="90"/>
        <v>29083535</v>
      </c>
    </row>
    <row r="319" spans="1:21" ht="18" customHeight="1">
      <c r="A319" s="854" t="s">
        <v>86</v>
      </c>
      <c r="C319" s="547" t="s">
        <v>537</v>
      </c>
      <c r="F319" s="638">
        <f t="shared" si="87"/>
        <v>0</v>
      </c>
      <c r="G319" s="638">
        <f t="shared" si="87"/>
        <v>195</v>
      </c>
      <c r="H319" s="638">
        <f t="shared" si="87"/>
        <v>0</v>
      </c>
      <c r="I319" s="638">
        <f t="shared" si="87"/>
        <v>0</v>
      </c>
      <c r="L319" s="638">
        <f t="shared" si="88"/>
        <v>0</v>
      </c>
      <c r="M319" s="853">
        <f t="shared" si="88"/>
        <v>195</v>
      </c>
      <c r="Q319" s="682">
        <f t="shared" si="89"/>
        <v>0</v>
      </c>
      <c r="S319" s="807">
        <f t="shared" si="90"/>
        <v>8979657.0999999996</v>
      </c>
      <c r="T319" s="682">
        <f t="shared" si="90"/>
        <v>8979657</v>
      </c>
      <c r="U319" s="682">
        <f t="shared" si="90"/>
        <v>8979657</v>
      </c>
    </row>
    <row r="320" spans="1:21" ht="18" customHeight="1">
      <c r="A320" s="854" t="s">
        <v>82</v>
      </c>
      <c r="C320" s="547" t="s">
        <v>552</v>
      </c>
      <c r="F320" s="638">
        <f t="shared" si="87"/>
        <v>0</v>
      </c>
      <c r="G320" s="638">
        <f t="shared" si="87"/>
        <v>242</v>
      </c>
      <c r="H320" s="638">
        <f t="shared" si="87"/>
        <v>0</v>
      </c>
      <c r="I320" s="638">
        <f t="shared" si="87"/>
        <v>0</v>
      </c>
      <c r="L320" s="638">
        <f t="shared" si="88"/>
        <v>0</v>
      </c>
      <c r="M320" s="853">
        <f t="shared" si="88"/>
        <v>242</v>
      </c>
      <c r="Q320" s="682">
        <f t="shared" si="89"/>
        <v>0</v>
      </c>
      <c r="S320" s="807">
        <f t="shared" si="90"/>
        <v>11143984.710000001</v>
      </c>
      <c r="T320" s="682">
        <f t="shared" si="90"/>
        <v>11143985</v>
      </c>
      <c r="U320" s="682">
        <f t="shared" si="90"/>
        <v>11143985</v>
      </c>
    </row>
    <row r="321" spans="1:21" ht="18" customHeight="1">
      <c r="A321" s="854" t="s">
        <v>83</v>
      </c>
      <c r="C321" s="547" t="s">
        <v>557</v>
      </c>
      <c r="F321" s="638">
        <f t="shared" si="87"/>
        <v>0</v>
      </c>
      <c r="G321" s="638">
        <f t="shared" si="87"/>
        <v>120</v>
      </c>
      <c r="H321" s="638">
        <f t="shared" si="87"/>
        <v>0</v>
      </c>
      <c r="I321" s="638">
        <f t="shared" si="87"/>
        <v>0</v>
      </c>
      <c r="L321" s="638">
        <f t="shared" si="88"/>
        <v>0</v>
      </c>
      <c r="M321" s="853">
        <f t="shared" si="88"/>
        <v>120</v>
      </c>
      <c r="Q321" s="682">
        <f t="shared" si="89"/>
        <v>0</v>
      </c>
      <c r="S321" s="807">
        <f t="shared" si="90"/>
        <v>5525942.8300000001</v>
      </c>
      <c r="T321" s="682">
        <f t="shared" si="90"/>
        <v>5525943</v>
      </c>
      <c r="U321" s="682">
        <f t="shared" si="90"/>
        <v>5525943</v>
      </c>
    </row>
    <row r="322" spans="1:21" ht="18" customHeight="1">
      <c r="A322" s="855" t="s">
        <v>813</v>
      </c>
      <c r="B322" s="809"/>
      <c r="C322" s="809" t="s">
        <v>810</v>
      </c>
      <c r="F322" s="638">
        <f t="shared" si="87"/>
        <v>0</v>
      </c>
      <c r="G322" s="812">
        <f t="shared" si="87"/>
        <v>330</v>
      </c>
      <c r="H322" s="812">
        <f t="shared" si="87"/>
        <v>0</v>
      </c>
      <c r="I322" s="638">
        <f t="shared" si="87"/>
        <v>0</v>
      </c>
      <c r="J322" s="809"/>
      <c r="K322" s="809"/>
      <c r="L322" s="638">
        <f t="shared" si="88"/>
        <v>0</v>
      </c>
      <c r="M322" s="813">
        <f t="shared" si="88"/>
        <v>330</v>
      </c>
      <c r="Q322" s="815">
        <f t="shared" si="89"/>
        <v>0</v>
      </c>
      <c r="S322" s="856">
        <f t="shared" si="90"/>
        <v>15196342.789999999</v>
      </c>
      <c r="T322" s="682">
        <f t="shared" si="90"/>
        <v>15196343</v>
      </c>
      <c r="U322" s="815">
        <f t="shared" si="90"/>
        <v>15196343</v>
      </c>
    </row>
    <row r="323" spans="1:21" ht="18" customHeight="1">
      <c r="A323" s="849" t="s">
        <v>25</v>
      </c>
      <c r="B323" s="658"/>
      <c r="C323" s="658"/>
      <c r="D323" s="659"/>
      <c r="E323" s="659"/>
      <c r="F323" s="857">
        <f>SUM(F309:F322)</f>
        <v>179922</v>
      </c>
      <c r="G323" s="857">
        <f>SUM(G309:G322)</f>
        <v>8773</v>
      </c>
      <c r="H323" s="857">
        <f>SUM(H309:H322)</f>
        <v>293</v>
      </c>
      <c r="I323" s="857">
        <f>SUM(I309:I322)</f>
        <v>247807</v>
      </c>
      <c r="J323" s="849"/>
      <c r="K323" s="849"/>
      <c r="L323" s="857">
        <f>SUM(L309:L322)</f>
        <v>79844</v>
      </c>
      <c r="M323" s="851">
        <f>SUM(M309:M322)</f>
        <v>29824.499999999996</v>
      </c>
      <c r="Q323" s="766">
        <f>SUM(Q309:Q322)</f>
        <v>21422553</v>
      </c>
      <c r="S323" s="858">
        <f>SUM(S309:S322)</f>
        <v>679792707.33000016</v>
      </c>
      <c r="T323" s="617">
        <f>SUM(T309:T322)</f>
        <v>679792710</v>
      </c>
      <c r="U323" s="617">
        <f>SUM(U309:U322)</f>
        <v>679792710</v>
      </c>
    </row>
    <row r="324" spans="1:21" ht="18" customHeight="1">
      <c r="A324" s="547">
        <f>COUNTA(A309:A322)</f>
        <v>14</v>
      </c>
      <c r="F324" s="638"/>
      <c r="G324" s="638"/>
      <c r="H324" s="638"/>
      <c r="I324" s="638"/>
      <c r="L324" s="638"/>
      <c r="U324" s="617">
        <f>T323+U323</f>
        <v>1359585420</v>
      </c>
    </row>
    <row r="325" spans="1:21" ht="18" customHeight="1">
      <c r="F325" s="638">
        <f>F323-F280</f>
        <v>0</v>
      </c>
      <c r="G325" s="638">
        <f>G323-G280</f>
        <v>0</v>
      </c>
      <c r="H325" s="638">
        <f>H323-H280</f>
        <v>0</v>
      </c>
      <c r="I325" s="638">
        <f>I323-I280</f>
        <v>0</v>
      </c>
      <c r="J325" s="638"/>
      <c r="K325" s="638"/>
      <c r="L325" s="638">
        <f>L323-L280</f>
        <v>0</v>
      </c>
      <c r="M325" s="638">
        <f>M323-M280</f>
        <v>0</v>
      </c>
      <c r="T325" s="547" t="s">
        <v>129</v>
      </c>
      <c r="U325" s="619">
        <f>U282-U324</f>
        <v>0</v>
      </c>
    </row>
    <row r="326" spans="1:21" ht="18" customHeight="1">
      <c r="G326" s="638"/>
      <c r="H326" s="638"/>
    </row>
    <row r="327" spans="1:21" ht="18" customHeight="1">
      <c r="G327" s="638"/>
      <c r="H327" s="638"/>
    </row>
    <row r="328" spans="1:21" ht="18" customHeight="1">
      <c r="G328" s="638"/>
      <c r="H328" s="638"/>
    </row>
    <row r="329" spans="1:21" ht="18" customHeight="1">
      <c r="A329" s="845" t="s">
        <v>569</v>
      </c>
      <c r="G329" s="638"/>
      <c r="H329" s="638"/>
    </row>
    <row r="330" spans="1:21" ht="18" customHeight="1">
      <c r="G330" s="638"/>
      <c r="H330" s="638"/>
      <c r="O330" s="554" t="s">
        <v>570</v>
      </c>
      <c r="P330" s="563"/>
      <c r="Q330" s="554" t="s">
        <v>129</v>
      </c>
    </row>
    <row r="331" spans="1:21" ht="18" customHeight="1">
      <c r="A331" s="846" t="s">
        <v>23</v>
      </c>
      <c r="C331" s="547" t="s">
        <v>325</v>
      </c>
      <c r="F331" s="571">
        <f t="shared" ref="F331:F344" si="91">(SUMIF($C$10:$C$279,$C331,F$10:F$279)/F$6)</f>
        <v>0</v>
      </c>
      <c r="G331" s="638">
        <f t="shared" ref="G331:H344" si="92">SUMIF($C$10:$C$279,$C331,G$10:G$279)</f>
        <v>923</v>
      </c>
      <c r="H331" s="638">
        <f t="shared" si="92"/>
        <v>0</v>
      </c>
      <c r="I331" s="571">
        <f t="shared" ref="I331:I344" si="93">(SUMIF($C$10:$C$279,$C331,I$10:I$279)/I$6)</f>
        <v>699.41666666666663</v>
      </c>
      <c r="L331" s="571">
        <f t="shared" ref="L331:L344" si="94">(SUMIF($C$10:$C$279,$C331,L$10:L$279)/L$6)</f>
        <v>630.44444444444446</v>
      </c>
      <c r="M331" s="853">
        <f t="shared" ref="M331:M344" si="95">SUMIF($C$10:$C$279,$C331,M$10:M$279)</f>
        <v>2252.8599999999997</v>
      </c>
      <c r="O331" s="548">
        <v>2233.4499999999998</v>
      </c>
      <c r="Q331" s="859">
        <f>M331-O331</f>
        <v>19.409999999999854</v>
      </c>
      <c r="T331" s="619">
        <f t="shared" ref="T331:U344" si="96">SUMIF($C$8:$C$279,$C331,T$8:T$279)</f>
        <v>55528369</v>
      </c>
      <c r="U331" s="619">
        <f t="shared" si="96"/>
        <v>55528369</v>
      </c>
    </row>
    <row r="332" spans="1:21" ht="18" customHeight="1">
      <c r="A332" s="846" t="s">
        <v>76</v>
      </c>
      <c r="C332" s="547" t="s">
        <v>339</v>
      </c>
      <c r="F332" s="571">
        <f t="shared" si="91"/>
        <v>740.26666666666665</v>
      </c>
      <c r="G332" s="638">
        <f t="shared" si="92"/>
        <v>935</v>
      </c>
      <c r="H332" s="638">
        <f t="shared" si="92"/>
        <v>0</v>
      </c>
      <c r="I332" s="571">
        <f t="shared" si="93"/>
        <v>1329.5416666666667</v>
      </c>
      <c r="L332" s="571">
        <f t="shared" si="94"/>
        <v>729.66666666666663</v>
      </c>
      <c r="M332" s="853">
        <f t="shared" si="95"/>
        <v>3734.47</v>
      </c>
      <c r="O332" s="548">
        <v>3867.15</v>
      </c>
      <c r="Q332" s="859">
        <f t="shared" ref="Q332:Q342" si="97">M332-O332</f>
        <v>-132.68000000000029</v>
      </c>
      <c r="T332" s="682">
        <f t="shared" si="96"/>
        <v>72174934</v>
      </c>
      <c r="U332" s="682">
        <f t="shared" si="96"/>
        <v>72174934</v>
      </c>
    </row>
    <row r="333" spans="1:21" ht="18" customHeight="1">
      <c r="A333" s="846" t="s">
        <v>77</v>
      </c>
      <c r="C333" s="547" t="s">
        <v>377</v>
      </c>
      <c r="F333" s="571">
        <f t="shared" si="91"/>
        <v>712.36666666666667</v>
      </c>
      <c r="G333" s="638">
        <f t="shared" si="92"/>
        <v>1391</v>
      </c>
      <c r="H333" s="638">
        <f t="shared" si="92"/>
        <v>95</v>
      </c>
      <c r="I333" s="571">
        <f t="shared" si="93"/>
        <v>1374.5833333333333</v>
      </c>
      <c r="L333" s="571">
        <f t="shared" si="94"/>
        <v>1405.8333333333333</v>
      </c>
      <c r="M333" s="853">
        <f t="shared" si="95"/>
        <v>4978.79</v>
      </c>
      <c r="O333" s="548">
        <v>5223.09</v>
      </c>
      <c r="Q333" s="859">
        <f t="shared" si="97"/>
        <v>-244.30000000000018</v>
      </c>
      <c r="T333" s="682">
        <f t="shared" si="96"/>
        <v>117055699</v>
      </c>
      <c r="U333" s="682">
        <f t="shared" si="96"/>
        <v>117055699</v>
      </c>
    </row>
    <row r="334" spans="1:21" ht="18" customHeight="1">
      <c r="A334" s="846" t="s">
        <v>78</v>
      </c>
      <c r="C334" s="547" t="s">
        <v>405</v>
      </c>
      <c r="F334" s="571">
        <f t="shared" si="91"/>
        <v>936.63333333333333</v>
      </c>
      <c r="G334" s="638">
        <f t="shared" si="92"/>
        <v>1293</v>
      </c>
      <c r="H334" s="638">
        <f t="shared" si="92"/>
        <v>100</v>
      </c>
      <c r="I334" s="571">
        <f t="shared" si="93"/>
        <v>949.75</v>
      </c>
      <c r="L334" s="571">
        <f t="shared" si="94"/>
        <v>821.05555555555554</v>
      </c>
      <c r="M334" s="853">
        <f t="shared" si="95"/>
        <v>4100.4400000000005</v>
      </c>
      <c r="O334" s="548">
        <v>3959.7</v>
      </c>
      <c r="Q334" s="859">
        <f t="shared" si="97"/>
        <v>140.74000000000069</v>
      </c>
      <c r="T334" s="682">
        <f t="shared" si="96"/>
        <v>91677354</v>
      </c>
      <c r="U334" s="682">
        <f t="shared" si="96"/>
        <v>91677354</v>
      </c>
    </row>
    <row r="335" spans="1:21" ht="18" customHeight="1">
      <c r="A335" s="846" t="s">
        <v>24</v>
      </c>
      <c r="C335" s="547" t="s">
        <v>409</v>
      </c>
      <c r="F335" s="571">
        <f t="shared" si="91"/>
        <v>359.9</v>
      </c>
      <c r="G335" s="638">
        <f t="shared" si="92"/>
        <v>0</v>
      </c>
      <c r="H335" s="638">
        <f t="shared" si="92"/>
        <v>0</v>
      </c>
      <c r="I335" s="571">
        <f t="shared" si="93"/>
        <v>29.916666666666668</v>
      </c>
      <c r="L335" s="571">
        <f t="shared" si="94"/>
        <v>0</v>
      </c>
      <c r="M335" s="853">
        <f t="shared" si="95"/>
        <v>389.82</v>
      </c>
      <c r="O335" s="548">
        <v>392.45</v>
      </c>
      <c r="Q335" s="859">
        <f t="shared" si="97"/>
        <v>-2.6299999999999955</v>
      </c>
      <c r="T335" s="682">
        <f t="shared" si="96"/>
        <v>3776778</v>
      </c>
      <c r="U335" s="682">
        <f t="shared" si="96"/>
        <v>3776778</v>
      </c>
    </row>
    <row r="336" spans="1:21" ht="18" customHeight="1">
      <c r="A336" s="846" t="s">
        <v>85</v>
      </c>
      <c r="C336" s="547" t="s">
        <v>415</v>
      </c>
      <c r="F336" s="571">
        <f t="shared" si="91"/>
        <v>0</v>
      </c>
      <c r="G336" s="638">
        <f t="shared" si="92"/>
        <v>0</v>
      </c>
      <c r="H336" s="638">
        <f t="shared" si="92"/>
        <v>0</v>
      </c>
      <c r="I336" s="571">
        <f t="shared" si="93"/>
        <v>78.083333333333329</v>
      </c>
      <c r="L336" s="571">
        <f t="shared" si="94"/>
        <v>0</v>
      </c>
      <c r="M336" s="853">
        <f t="shared" si="95"/>
        <v>78.08</v>
      </c>
      <c r="O336" s="548">
        <v>68.55</v>
      </c>
      <c r="Q336" s="859">
        <f t="shared" si="97"/>
        <v>9.5300000000000011</v>
      </c>
      <c r="T336" s="682">
        <f t="shared" si="96"/>
        <v>2347992</v>
      </c>
      <c r="U336" s="682">
        <f t="shared" si="96"/>
        <v>2347992</v>
      </c>
    </row>
    <row r="337" spans="1:21" ht="18" customHeight="1">
      <c r="A337" s="846" t="s">
        <v>79</v>
      </c>
      <c r="C337" s="547" t="s">
        <v>466</v>
      </c>
      <c r="F337" s="571">
        <f t="shared" si="91"/>
        <v>1045.7333333333333</v>
      </c>
      <c r="G337" s="638">
        <f t="shared" si="92"/>
        <v>1145</v>
      </c>
      <c r="H337" s="638">
        <f t="shared" si="92"/>
        <v>98</v>
      </c>
      <c r="I337" s="571">
        <f t="shared" si="93"/>
        <v>1210.8333333333333</v>
      </c>
      <c r="L337" s="571">
        <f t="shared" si="94"/>
        <v>169.44444444444446</v>
      </c>
      <c r="M337" s="853">
        <f t="shared" si="95"/>
        <v>3669.02</v>
      </c>
      <c r="O337" s="548">
        <v>3409.57</v>
      </c>
      <c r="Q337" s="859">
        <f t="shared" si="97"/>
        <v>259.44999999999982</v>
      </c>
      <c r="T337" s="682">
        <f t="shared" si="96"/>
        <v>100004511</v>
      </c>
      <c r="U337" s="682">
        <f t="shared" si="96"/>
        <v>100004511</v>
      </c>
    </row>
    <row r="338" spans="1:21" ht="18" customHeight="1">
      <c r="A338" s="846" t="s">
        <v>80</v>
      </c>
      <c r="C338" s="547" t="s">
        <v>476</v>
      </c>
      <c r="F338" s="571">
        <f t="shared" si="91"/>
        <v>4.8</v>
      </c>
      <c r="G338" s="638">
        <f t="shared" si="92"/>
        <v>935</v>
      </c>
      <c r="H338" s="638">
        <f t="shared" si="92"/>
        <v>0</v>
      </c>
      <c r="I338" s="571">
        <f t="shared" si="93"/>
        <v>1771.2916666666667</v>
      </c>
      <c r="L338" s="571">
        <f t="shared" si="94"/>
        <v>111.16666666666667</v>
      </c>
      <c r="M338" s="853">
        <f t="shared" si="95"/>
        <v>2822.2599999999998</v>
      </c>
      <c r="O338" s="548">
        <v>2943.62</v>
      </c>
      <c r="Q338" s="859">
        <f t="shared" si="97"/>
        <v>-121.36000000000013</v>
      </c>
      <c r="T338" s="682">
        <f t="shared" si="96"/>
        <v>65974339</v>
      </c>
      <c r="U338" s="682">
        <f t="shared" si="96"/>
        <v>65974339</v>
      </c>
    </row>
    <row r="339" spans="1:21" ht="18" customHeight="1">
      <c r="A339" s="854" t="s">
        <v>75</v>
      </c>
      <c r="C339" s="547" t="s">
        <v>511</v>
      </c>
      <c r="F339" s="571">
        <f t="shared" si="91"/>
        <v>1875.8</v>
      </c>
      <c r="G339" s="638">
        <f t="shared" si="92"/>
        <v>714</v>
      </c>
      <c r="H339" s="638">
        <f t="shared" si="92"/>
        <v>0</v>
      </c>
      <c r="I339" s="571">
        <f t="shared" si="93"/>
        <v>2846</v>
      </c>
      <c r="L339" s="571">
        <f t="shared" si="94"/>
        <v>568.16666666666663</v>
      </c>
      <c r="M339" s="853">
        <f t="shared" si="95"/>
        <v>6003.9800000000005</v>
      </c>
      <c r="O339" s="548">
        <v>6148.32</v>
      </c>
      <c r="Q339" s="859">
        <f t="shared" si="97"/>
        <v>-144.33999999999924</v>
      </c>
      <c r="T339" s="682">
        <f t="shared" si="96"/>
        <v>101323271</v>
      </c>
      <c r="U339" s="682">
        <f t="shared" si="96"/>
        <v>101323271</v>
      </c>
    </row>
    <row r="340" spans="1:21" ht="18" customHeight="1">
      <c r="A340" s="854" t="s">
        <v>81</v>
      </c>
      <c r="C340" s="547" t="s">
        <v>522</v>
      </c>
      <c r="F340" s="571">
        <f t="shared" si="91"/>
        <v>321.89999999999998</v>
      </c>
      <c r="G340" s="638">
        <f t="shared" si="92"/>
        <v>550</v>
      </c>
      <c r="H340" s="638">
        <f t="shared" si="92"/>
        <v>0</v>
      </c>
      <c r="I340" s="571">
        <f t="shared" si="93"/>
        <v>35.875</v>
      </c>
      <c r="L340" s="571">
        <f t="shared" si="94"/>
        <v>0</v>
      </c>
      <c r="M340" s="853">
        <f t="shared" si="95"/>
        <v>907.78</v>
      </c>
      <c r="O340" s="548">
        <v>840.21</v>
      </c>
      <c r="Q340" s="859">
        <f t="shared" si="97"/>
        <v>67.569999999999936</v>
      </c>
      <c r="T340" s="682">
        <f t="shared" si="96"/>
        <v>29083535</v>
      </c>
      <c r="U340" s="682">
        <f t="shared" si="96"/>
        <v>29083535</v>
      </c>
    </row>
    <row r="341" spans="1:21" ht="18" customHeight="1">
      <c r="A341" s="854" t="s">
        <v>86</v>
      </c>
      <c r="C341" s="547" t="s">
        <v>537</v>
      </c>
      <c r="F341" s="571">
        <f t="shared" si="91"/>
        <v>0</v>
      </c>
      <c r="G341" s="638">
        <f t="shared" si="92"/>
        <v>195</v>
      </c>
      <c r="H341" s="638">
        <f t="shared" si="92"/>
        <v>0</v>
      </c>
      <c r="I341" s="571">
        <f t="shared" si="93"/>
        <v>0</v>
      </c>
      <c r="L341" s="571">
        <f t="shared" si="94"/>
        <v>0</v>
      </c>
      <c r="M341" s="853">
        <f t="shared" si="95"/>
        <v>195</v>
      </c>
      <c r="O341" s="548">
        <v>194</v>
      </c>
      <c r="Q341" s="859">
        <f t="shared" si="97"/>
        <v>1</v>
      </c>
      <c r="T341" s="682">
        <f t="shared" si="96"/>
        <v>8979657</v>
      </c>
      <c r="U341" s="682">
        <f t="shared" si="96"/>
        <v>8979657</v>
      </c>
    </row>
    <row r="342" spans="1:21" ht="18" customHeight="1">
      <c r="A342" s="854" t="s">
        <v>82</v>
      </c>
      <c r="C342" s="547" t="s">
        <v>552</v>
      </c>
      <c r="F342" s="571">
        <f t="shared" si="91"/>
        <v>0</v>
      </c>
      <c r="G342" s="638">
        <f t="shared" si="92"/>
        <v>242</v>
      </c>
      <c r="H342" s="638">
        <f t="shared" si="92"/>
        <v>0</v>
      </c>
      <c r="I342" s="571">
        <f t="shared" si="93"/>
        <v>0</v>
      </c>
      <c r="L342" s="571">
        <f t="shared" si="94"/>
        <v>0</v>
      </c>
      <c r="M342" s="853">
        <f t="shared" si="95"/>
        <v>242</v>
      </c>
      <c r="O342" s="548">
        <v>221</v>
      </c>
      <c r="Q342" s="859">
        <f t="shared" si="97"/>
        <v>21</v>
      </c>
      <c r="T342" s="682">
        <f t="shared" si="96"/>
        <v>11143985</v>
      </c>
      <c r="U342" s="682">
        <f t="shared" si="96"/>
        <v>11143985</v>
      </c>
    </row>
    <row r="343" spans="1:21" ht="18" customHeight="1">
      <c r="A343" s="854" t="s">
        <v>83</v>
      </c>
      <c r="C343" s="547" t="s">
        <v>557</v>
      </c>
      <c r="F343" s="571">
        <f t="shared" si="91"/>
        <v>0</v>
      </c>
      <c r="G343" s="638">
        <f t="shared" si="92"/>
        <v>120</v>
      </c>
      <c r="H343" s="638">
        <f t="shared" si="92"/>
        <v>0</v>
      </c>
      <c r="I343" s="571">
        <f t="shared" si="93"/>
        <v>0</v>
      </c>
      <c r="L343" s="571">
        <f t="shared" si="94"/>
        <v>0</v>
      </c>
      <c r="M343" s="853">
        <f t="shared" si="95"/>
        <v>120</v>
      </c>
      <c r="O343" s="548">
        <v>30</v>
      </c>
      <c r="Q343" s="859">
        <f>M343-O343</f>
        <v>90</v>
      </c>
      <c r="T343" s="682">
        <f t="shared" si="96"/>
        <v>5525943</v>
      </c>
      <c r="U343" s="682">
        <f t="shared" si="96"/>
        <v>5525943</v>
      </c>
    </row>
    <row r="344" spans="1:21" ht="18" customHeight="1">
      <c r="A344" s="855" t="s">
        <v>813</v>
      </c>
      <c r="B344" s="809"/>
      <c r="C344" s="809" t="s">
        <v>810</v>
      </c>
      <c r="D344" s="810"/>
      <c r="E344" s="810"/>
      <c r="F344" s="813">
        <f t="shared" si="91"/>
        <v>0</v>
      </c>
      <c r="G344" s="812">
        <f t="shared" si="92"/>
        <v>330</v>
      </c>
      <c r="H344" s="812">
        <f t="shared" si="92"/>
        <v>0</v>
      </c>
      <c r="I344" s="813">
        <f t="shared" si="93"/>
        <v>0</v>
      </c>
      <c r="J344" s="809"/>
      <c r="K344" s="809"/>
      <c r="L344" s="813">
        <f t="shared" si="94"/>
        <v>0</v>
      </c>
      <c r="M344" s="813">
        <f t="shared" si="95"/>
        <v>330</v>
      </c>
      <c r="O344" s="548">
        <v>0</v>
      </c>
      <c r="Q344" s="859">
        <f>M344-O344</f>
        <v>330</v>
      </c>
      <c r="T344" s="815">
        <f t="shared" si="96"/>
        <v>15196343</v>
      </c>
      <c r="U344" s="815">
        <f t="shared" si="96"/>
        <v>15196343</v>
      </c>
    </row>
    <row r="345" spans="1:21" ht="18" customHeight="1">
      <c r="A345" s="849" t="s">
        <v>25</v>
      </c>
      <c r="B345" s="658"/>
      <c r="C345" s="658"/>
      <c r="D345" s="659"/>
      <c r="E345" s="659"/>
      <c r="F345" s="851">
        <f>SUM(F331:F344)</f>
        <v>5997.4</v>
      </c>
      <c r="G345" s="857">
        <f>SUM(G331:G344)</f>
        <v>8773</v>
      </c>
      <c r="H345" s="857">
        <f>SUM(H331:H344)</f>
        <v>293</v>
      </c>
      <c r="I345" s="851">
        <f>SUM(I331:I344)</f>
        <v>10325.291666666668</v>
      </c>
      <c r="J345" s="849"/>
      <c r="K345" s="849"/>
      <c r="L345" s="851">
        <f>SUM(L331:L344)</f>
        <v>4435.7777777777774</v>
      </c>
      <c r="M345" s="851">
        <f>SUM(M331:M344)</f>
        <v>29824.499999999996</v>
      </c>
      <c r="O345" s="851">
        <f>SUM(O331:O344)</f>
        <v>29531.109999999997</v>
      </c>
      <c r="Q345" s="851">
        <f>SUM(Q331:Q344)</f>
        <v>293.39000000000044</v>
      </c>
      <c r="T345" s="766">
        <f>SUM(T331:T344)</f>
        <v>679792710</v>
      </c>
      <c r="U345" s="766">
        <f>SUM(U331:U344)</f>
        <v>679792710</v>
      </c>
    </row>
    <row r="346" spans="1:21" ht="18" customHeight="1">
      <c r="A346" s="547">
        <f>COUNTA(A331:A344)</f>
        <v>14</v>
      </c>
      <c r="G346" s="638"/>
      <c r="H346" s="638"/>
      <c r="L346" s="547" t="s">
        <v>567</v>
      </c>
      <c r="M346" s="571">
        <f>SUM(F345:L345)</f>
        <v>29824.469444444443</v>
      </c>
      <c r="U346" s="617">
        <f>T345+U345</f>
        <v>1359585420</v>
      </c>
    </row>
    <row r="347" spans="1:21" ht="18" customHeight="1">
      <c r="T347" s="547" t="s">
        <v>129</v>
      </c>
      <c r="U347" s="619">
        <f>U282-U346</f>
        <v>0</v>
      </c>
    </row>
    <row r="348" spans="1:21" ht="18" customHeight="1">
      <c r="F348" s="571">
        <f>F345-F301</f>
        <v>0</v>
      </c>
      <c r="G348" s="638">
        <f t="shared" ref="G348:I348" si="98">G345-G301</f>
        <v>0</v>
      </c>
      <c r="H348" s="638">
        <f t="shared" si="98"/>
        <v>0</v>
      </c>
      <c r="I348" s="571">
        <f t="shared" si="98"/>
        <v>1.6666666670062114E-3</v>
      </c>
      <c r="J348" s="571"/>
      <c r="K348" s="571"/>
      <c r="L348" s="571">
        <f>L345-L301</f>
        <v>7.7777777769370005E-3</v>
      </c>
      <c r="M348" s="571">
        <f>M345-M280</f>
        <v>0</v>
      </c>
    </row>
    <row r="349" spans="1:21" ht="18" customHeight="1"/>
    <row r="350" spans="1:21" ht="18" customHeight="1">
      <c r="O350" s="554"/>
      <c r="S350" s="554"/>
      <c r="T350" s="860" t="s">
        <v>571</v>
      </c>
    </row>
    <row r="351" spans="1:21" ht="18" customHeight="1">
      <c r="A351" s="845" t="s">
        <v>572</v>
      </c>
      <c r="O351" s="554"/>
      <c r="Q351" s="554"/>
      <c r="S351" s="861" t="s">
        <v>573</v>
      </c>
      <c r="T351" s="862" t="s">
        <v>37</v>
      </c>
      <c r="U351" s="863" t="s">
        <v>151</v>
      </c>
    </row>
    <row r="352" spans="1:21" ht="18" customHeight="1">
      <c r="S352" s="554" t="s">
        <v>574</v>
      </c>
      <c r="T352" s="589" t="s">
        <v>566</v>
      </c>
      <c r="U352" s="591"/>
    </row>
    <row r="353" spans="1:21" ht="18" customHeight="1">
      <c r="A353" s="846" t="s">
        <v>23</v>
      </c>
      <c r="G353" s="864"/>
      <c r="O353" s="865"/>
      <c r="Q353" s="619"/>
      <c r="S353" s="619">
        <v>107678232</v>
      </c>
      <c r="T353" s="866">
        <f>T331+U331</f>
        <v>111056738</v>
      </c>
      <c r="U353" s="867">
        <f>T353-S353</f>
        <v>3378506</v>
      </c>
    </row>
    <row r="354" spans="1:21" ht="18" customHeight="1">
      <c r="A354" s="846" t="s">
        <v>76</v>
      </c>
      <c r="G354" s="864"/>
      <c r="O354" s="868"/>
      <c r="Q354" s="682"/>
      <c r="S354" s="682">
        <v>147504012</v>
      </c>
      <c r="T354" s="869">
        <f t="shared" ref="T354:T364" si="99">T332+U332</f>
        <v>144349868</v>
      </c>
      <c r="U354" s="870">
        <f t="shared" ref="U354:U365" si="100">T354-S354</f>
        <v>-3154144</v>
      </c>
    </row>
    <row r="355" spans="1:21" ht="18" customHeight="1">
      <c r="A355" s="846" t="s">
        <v>77</v>
      </c>
      <c r="G355" s="871"/>
      <c r="O355" s="868"/>
      <c r="Q355" s="682"/>
      <c r="S355" s="682">
        <v>238481826</v>
      </c>
      <c r="T355" s="869">
        <f t="shared" si="99"/>
        <v>234111398</v>
      </c>
      <c r="U355" s="870">
        <f t="shared" si="100"/>
        <v>-4370428</v>
      </c>
    </row>
    <row r="356" spans="1:21" ht="18" customHeight="1">
      <c r="A356" s="846" t="s">
        <v>78</v>
      </c>
      <c r="G356" s="871"/>
      <c r="O356" s="868"/>
      <c r="Q356" s="682"/>
      <c r="S356" s="682">
        <v>177614742</v>
      </c>
      <c r="T356" s="869">
        <f t="shared" si="99"/>
        <v>183354708</v>
      </c>
      <c r="U356" s="870">
        <f t="shared" si="100"/>
        <v>5739966</v>
      </c>
    </row>
    <row r="357" spans="1:21" ht="18" customHeight="1">
      <c r="A357" s="846" t="s">
        <v>24</v>
      </c>
      <c r="G357" s="864"/>
      <c r="O357" s="868"/>
      <c r="Q357" s="682"/>
      <c r="S357" s="682">
        <v>7552044</v>
      </c>
      <c r="T357" s="869">
        <f t="shared" si="99"/>
        <v>7553556</v>
      </c>
      <c r="U357" s="870">
        <f t="shared" si="100"/>
        <v>1512</v>
      </c>
    </row>
    <row r="358" spans="1:21" ht="18" customHeight="1">
      <c r="A358" s="846" t="s">
        <v>85</v>
      </c>
      <c r="G358" s="864"/>
      <c r="O358" s="868"/>
      <c r="Q358" s="682"/>
      <c r="S358" s="682">
        <v>4167770</v>
      </c>
      <c r="T358" s="869">
        <f t="shared" si="99"/>
        <v>4695984</v>
      </c>
      <c r="U358" s="870">
        <f t="shared" si="100"/>
        <v>528214</v>
      </c>
    </row>
    <row r="359" spans="1:21" ht="18" customHeight="1">
      <c r="A359" s="846" t="s">
        <v>79</v>
      </c>
      <c r="G359" s="864"/>
      <c r="O359" s="868"/>
      <c r="Q359" s="682"/>
      <c r="S359" s="682">
        <v>183277542</v>
      </c>
      <c r="T359" s="869">
        <f t="shared" si="99"/>
        <v>200009022</v>
      </c>
      <c r="U359" s="870">
        <f t="shared" si="100"/>
        <v>16731480</v>
      </c>
    </row>
    <row r="360" spans="1:21" ht="18" customHeight="1">
      <c r="A360" s="846" t="s">
        <v>80</v>
      </c>
      <c r="G360" s="864"/>
      <c r="O360" s="868"/>
      <c r="Q360" s="682"/>
      <c r="S360" s="682">
        <v>135799752</v>
      </c>
      <c r="T360" s="869">
        <f t="shared" si="99"/>
        <v>131948678</v>
      </c>
      <c r="U360" s="870">
        <f t="shared" si="100"/>
        <v>-3851074</v>
      </c>
    </row>
    <row r="361" spans="1:21" ht="18" customHeight="1">
      <c r="A361" s="854" t="s">
        <v>75</v>
      </c>
      <c r="G361" s="864"/>
      <c r="O361" s="868"/>
      <c r="Q361" s="682"/>
      <c r="S361" s="682">
        <v>204217746</v>
      </c>
      <c r="T361" s="869">
        <f t="shared" si="99"/>
        <v>202646542</v>
      </c>
      <c r="U361" s="870">
        <f t="shared" si="100"/>
        <v>-1571204</v>
      </c>
    </row>
    <row r="362" spans="1:21" ht="18" customHeight="1">
      <c r="A362" s="854" t="s">
        <v>81</v>
      </c>
      <c r="G362" s="864"/>
      <c r="O362" s="868"/>
      <c r="Q362" s="682"/>
      <c r="S362" s="682">
        <v>47865628</v>
      </c>
      <c r="T362" s="869">
        <f t="shared" si="99"/>
        <v>58167070</v>
      </c>
      <c r="U362" s="870">
        <f t="shared" si="100"/>
        <v>10301442</v>
      </c>
    </row>
    <row r="363" spans="1:21" ht="18" customHeight="1">
      <c r="A363" s="854" t="s">
        <v>86</v>
      </c>
      <c r="G363" s="864"/>
      <c r="O363" s="868"/>
      <c r="Q363" s="682"/>
      <c r="S363" s="682">
        <v>17743926</v>
      </c>
      <c r="T363" s="869">
        <f t="shared" si="99"/>
        <v>17959314</v>
      </c>
      <c r="U363" s="870">
        <f t="shared" si="100"/>
        <v>215388</v>
      </c>
    </row>
    <row r="364" spans="1:21" ht="18" customHeight="1">
      <c r="A364" s="854" t="s">
        <v>82</v>
      </c>
      <c r="G364" s="864"/>
      <c r="O364" s="868"/>
      <c r="Q364" s="682"/>
      <c r="S364" s="682">
        <v>20213440</v>
      </c>
      <c r="T364" s="869">
        <f t="shared" si="99"/>
        <v>22287970</v>
      </c>
      <c r="U364" s="870">
        <f t="shared" si="100"/>
        <v>2074530</v>
      </c>
    </row>
    <row r="365" spans="1:21" ht="18" customHeight="1">
      <c r="A365" s="854" t="s">
        <v>83</v>
      </c>
      <c r="G365" s="864"/>
      <c r="O365" s="868"/>
      <c r="Q365" s="682"/>
      <c r="S365" s="682">
        <v>2743906</v>
      </c>
      <c r="T365" s="869">
        <f>T343+U343</f>
        <v>11051886</v>
      </c>
      <c r="U365" s="870">
        <f t="shared" si="100"/>
        <v>8307980</v>
      </c>
    </row>
    <row r="366" spans="1:21" ht="18" customHeight="1">
      <c r="A366" s="855" t="s">
        <v>813</v>
      </c>
      <c r="O366" s="868"/>
      <c r="Q366" s="682"/>
      <c r="S366" s="815">
        <v>0</v>
      </c>
      <c r="T366" s="869">
        <f>T344+U344</f>
        <v>30392686</v>
      </c>
      <c r="U366" s="870"/>
    </row>
    <row r="367" spans="1:21" ht="18" customHeight="1">
      <c r="A367" s="849" t="s">
        <v>25</v>
      </c>
      <c r="O367" s="619"/>
      <c r="Q367" s="619"/>
      <c r="S367" s="766">
        <f>SUM(S353:S366)</f>
        <v>1294860566</v>
      </c>
      <c r="T367" s="617">
        <f>SUM(T353:T366)</f>
        <v>1359585420</v>
      </c>
      <c r="U367" s="872">
        <f>SUM(U353:U366)</f>
        <v>34332168</v>
      </c>
    </row>
    <row r="368" spans="1:21" ht="18" customHeight="1">
      <c r="A368" s="547">
        <f>COUNTA(A353:A366)</f>
        <v>14</v>
      </c>
      <c r="S368" s="554" t="s">
        <v>575</v>
      </c>
      <c r="T368" s="873">
        <f>T367-U282</f>
        <v>0</v>
      </c>
      <c r="U368" s="554" t="s">
        <v>576</v>
      </c>
    </row>
    <row r="369" spans="1:9" ht="18" customHeight="1">
      <c r="A369" s="874"/>
      <c r="B369" s="874"/>
      <c r="C369" s="874"/>
      <c r="D369" s="875"/>
      <c r="E369" s="875"/>
      <c r="F369" s="874"/>
      <c r="G369" s="874"/>
      <c r="H369" s="874"/>
      <c r="I369" s="876"/>
    </row>
  </sheetData>
  <mergeCells count="5">
    <mergeCell ref="T2:U2"/>
    <mergeCell ref="G4:H4"/>
    <mergeCell ref="T6:U6"/>
    <mergeCell ref="T290:U290"/>
    <mergeCell ref="T291:U291"/>
  </mergeCells>
  <conditionalFormatting sqref="D248">
    <cfRule type="duplicateValues" dxfId="0" priority="1"/>
  </conditionalFormatting>
  <printOptions horizontalCentered="1"/>
  <pageMargins left="0.25" right="0.25" top="0.25" bottom="0.25" header="0.25" footer="0.25"/>
  <pageSetup scale="43" fitToHeight="0" orientation="landscape" horizontalDpi="1200" verticalDpi="1200" r:id="rId1"/>
  <headerFooter alignWithMargins="0">
    <oddFooter>&amp;R&amp;8&amp;D</oddFooter>
  </headerFooter>
  <rowBreaks count="3" manualBreakCount="3">
    <brk id="75" max="18" man="1"/>
    <brk id="148" max="18" man="1"/>
    <brk id="306" max="18"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7D2E-48A0-4FE9-9EEC-3BC902130474}">
  <sheetPr>
    <tabColor theme="5" tint="0.79998168889431442"/>
  </sheetPr>
  <dimension ref="A1:T105"/>
  <sheetViews>
    <sheetView zoomScale="80" zoomScaleNormal="80" workbookViewId="0">
      <pane ySplit="5" topLeftCell="A6" activePane="bottomLeft" state="frozen"/>
      <selection activeCell="M7" sqref="M7:N7"/>
      <selection pane="bottomLeft"/>
    </sheetView>
  </sheetViews>
  <sheetFormatPr defaultColWidth="9.109375" defaultRowHeight="13.2"/>
  <cols>
    <col min="1" max="1" width="9.109375" style="878"/>
    <col min="2" max="2" width="41.88671875" style="878" customWidth="1"/>
    <col min="3" max="3" width="9.109375" style="878"/>
    <col min="4" max="4" width="43.88671875" style="878" customWidth="1"/>
    <col min="5" max="5" width="9.109375" style="878"/>
    <col min="6" max="6" width="35.88671875" style="878" customWidth="1"/>
    <col min="7" max="15" width="9.109375" style="878"/>
    <col min="16" max="16" width="35.44140625" style="878" customWidth="1"/>
    <col min="17" max="17" width="17.5546875" style="878" customWidth="1"/>
    <col min="18" max="18" width="19.109375" style="878" customWidth="1"/>
    <col min="19" max="19" width="11.6640625" style="878" customWidth="1"/>
    <col min="20" max="20" width="9.109375" style="879"/>
    <col min="21" max="16384" width="9.109375" style="878"/>
  </cols>
  <sheetData>
    <row r="1" spans="1:20" ht="14.4">
      <c r="A1" s="877" t="s">
        <v>577</v>
      </c>
    </row>
    <row r="2" spans="1:20" ht="23.4">
      <c r="A2" s="877" t="s">
        <v>578</v>
      </c>
      <c r="G2" s="565" t="s">
        <v>579</v>
      </c>
      <c r="H2" s="565" t="s">
        <v>580</v>
      </c>
      <c r="I2" s="565" t="s">
        <v>581</v>
      </c>
      <c r="J2" s="565" t="s">
        <v>582</v>
      </c>
      <c r="K2" s="565" t="s">
        <v>583</v>
      </c>
      <c r="L2" s="565" t="s">
        <v>584</v>
      </c>
      <c r="M2" s="565" t="s">
        <v>585</v>
      </c>
      <c r="N2" s="565"/>
      <c r="O2" s="880"/>
    </row>
    <row r="3" spans="1:20" ht="14.4">
      <c r="A3" s="877" t="s">
        <v>586</v>
      </c>
      <c r="G3" s="880"/>
      <c r="H3" s="880"/>
      <c r="I3" s="880"/>
      <c r="J3" s="956" t="s">
        <v>587</v>
      </c>
      <c r="K3" s="957"/>
      <c r="L3" s="958"/>
      <c r="M3" s="881" t="s">
        <v>588</v>
      </c>
      <c r="N3" s="880"/>
      <c r="O3" s="880"/>
    </row>
    <row r="4" spans="1:20" ht="14.4">
      <c r="G4" s="882" t="s">
        <v>589</v>
      </c>
      <c r="H4" s="882" t="s">
        <v>590</v>
      </c>
      <c r="I4" s="882" t="s">
        <v>591</v>
      </c>
      <c r="J4" s="883" t="s">
        <v>592</v>
      </c>
      <c r="K4" s="884" t="s">
        <v>593</v>
      </c>
      <c r="L4" s="885" t="s">
        <v>594</v>
      </c>
      <c r="M4" s="886" t="s">
        <v>595</v>
      </c>
      <c r="N4" s="880"/>
      <c r="O4" s="880"/>
      <c r="Q4" s="959" t="s">
        <v>596</v>
      </c>
      <c r="R4" s="959" t="s">
        <v>597</v>
      </c>
      <c r="S4" s="959" t="s">
        <v>598</v>
      </c>
      <c r="T4" s="960" t="s">
        <v>599</v>
      </c>
    </row>
    <row r="5" spans="1:20" ht="14.4">
      <c r="A5" s="887" t="s">
        <v>600</v>
      </c>
      <c r="B5" s="888"/>
      <c r="C5" s="887" t="s">
        <v>601</v>
      </c>
      <c r="D5" s="888"/>
      <c r="E5" s="887" t="s">
        <v>602</v>
      </c>
      <c r="F5" s="888"/>
      <c r="G5" s="889" t="s">
        <v>603</v>
      </c>
      <c r="H5" s="889" t="s">
        <v>301</v>
      </c>
      <c r="I5" s="889" t="s">
        <v>302</v>
      </c>
      <c r="J5" s="889" t="s">
        <v>604</v>
      </c>
      <c r="K5" s="889" t="s">
        <v>605</v>
      </c>
      <c r="L5" s="889" t="s">
        <v>606</v>
      </c>
      <c r="M5" s="889" t="s">
        <v>607</v>
      </c>
      <c r="N5" s="889" t="s">
        <v>15</v>
      </c>
      <c r="O5" s="889" t="s">
        <v>608</v>
      </c>
      <c r="P5" s="890" t="s">
        <v>609</v>
      </c>
      <c r="Q5" s="959"/>
      <c r="R5" s="959"/>
      <c r="S5" s="959"/>
      <c r="T5" s="960"/>
    </row>
    <row r="7" spans="1:20" s="892" customFormat="1">
      <c r="A7" s="891" t="s">
        <v>610</v>
      </c>
      <c r="B7" s="891" t="s">
        <v>611</v>
      </c>
      <c r="C7" s="891" t="s">
        <v>319</v>
      </c>
      <c r="D7" s="891" t="s">
        <v>612</v>
      </c>
      <c r="E7" s="891" t="s">
        <v>613</v>
      </c>
      <c r="F7" s="891" t="s">
        <v>614</v>
      </c>
      <c r="G7" s="892">
        <v>0</v>
      </c>
      <c r="H7" s="893">
        <v>4573</v>
      </c>
      <c r="I7" s="893">
        <v>12356</v>
      </c>
      <c r="J7" s="892">
        <v>0</v>
      </c>
      <c r="K7" s="892">
        <v>0</v>
      </c>
      <c r="L7" s="892">
        <v>0</v>
      </c>
      <c r="M7" s="893">
        <v>1306</v>
      </c>
      <c r="N7" s="893">
        <v>15623</v>
      </c>
      <c r="O7" s="892">
        <v>804.43</v>
      </c>
      <c r="P7" s="892" t="s">
        <v>615</v>
      </c>
      <c r="T7" s="894"/>
    </row>
    <row r="8" spans="1:20" s="892" customFormat="1">
      <c r="A8" s="891" t="s">
        <v>610</v>
      </c>
      <c r="B8" s="891" t="s">
        <v>611</v>
      </c>
      <c r="C8" s="891" t="s">
        <v>314</v>
      </c>
      <c r="D8" s="891" t="s">
        <v>616</v>
      </c>
      <c r="E8" s="891" t="s">
        <v>613</v>
      </c>
      <c r="F8" s="891" t="s">
        <v>614</v>
      </c>
      <c r="G8" s="892">
        <v>0</v>
      </c>
      <c r="H8" s="892">
        <v>0</v>
      </c>
      <c r="I8" s="892">
        <v>0</v>
      </c>
      <c r="J8" s="892">
        <v>923</v>
      </c>
      <c r="K8" s="892">
        <v>0</v>
      </c>
      <c r="L8" s="892">
        <v>0</v>
      </c>
      <c r="M8" s="892">
        <v>0</v>
      </c>
      <c r="N8" s="892">
        <v>0</v>
      </c>
      <c r="O8" s="892">
        <v>923</v>
      </c>
      <c r="P8" s="892" t="s">
        <v>617</v>
      </c>
      <c r="T8" s="894"/>
    </row>
    <row r="9" spans="1:20" s="892" customFormat="1">
      <c r="A9" s="891" t="s">
        <v>610</v>
      </c>
      <c r="B9" s="891" t="s">
        <v>611</v>
      </c>
      <c r="C9" s="891" t="s">
        <v>322</v>
      </c>
      <c r="D9" s="891" t="s">
        <v>618</v>
      </c>
      <c r="E9" s="891" t="s">
        <v>613</v>
      </c>
      <c r="F9" s="891" t="s">
        <v>614</v>
      </c>
      <c r="G9" s="892">
        <v>0</v>
      </c>
      <c r="H9" s="893">
        <v>12213</v>
      </c>
      <c r="I9" s="892">
        <v>298</v>
      </c>
      <c r="J9" s="892">
        <v>0</v>
      </c>
      <c r="K9" s="892">
        <v>0</v>
      </c>
      <c r="L9" s="892">
        <v>0</v>
      </c>
      <c r="M9" s="892">
        <v>0</v>
      </c>
      <c r="N9" s="893">
        <v>12511</v>
      </c>
      <c r="O9" s="892">
        <v>525.42999999999995</v>
      </c>
      <c r="P9" s="892" t="s">
        <v>619</v>
      </c>
      <c r="Q9" s="892">
        <f>SUM(O7:O9)</f>
        <v>2252.8599999999997</v>
      </c>
      <c r="R9" s="892">
        <v>2248.3599999999997</v>
      </c>
      <c r="S9" s="892">
        <f>Q9-R9</f>
        <v>4.5</v>
      </c>
      <c r="T9" s="894">
        <f>S9/R9</f>
        <v>2.0014588411108544E-3</v>
      </c>
    </row>
    <row r="10" spans="1:20" s="896" customFormat="1">
      <c r="A10" s="895" t="s">
        <v>620</v>
      </c>
      <c r="B10" s="895" t="s">
        <v>621</v>
      </c>
      <c r="C10" s="895" t="s">
        <v>389</v>
      </c>
      <c r="D10" s="895" t="s">
        <v>622</v>
      </c>
      <c r="E10" s="895" t="s">
        <v>613</v>
      </c>
      <c r="F10" s="895" t="s">
        <v>614</v>
      </c>
      <c r="G10" s="896">
        <v>0</v>
      </c>
      <c r="H10" s="897">
        <v>1517</v>
      </c>
      <c r="I10" s="897">
        <v>4639</v>
      </c>
      <c r="J10" s="896">
        <v>0</v>
      </c>
      <c r="K10" s="896">
        <v>0</v>
      </c>
      <c r="L10" s="896">
        <v>0</v>
      </c>
      <c r="M10" s="896">
        <v>0</v>
      </c>
      <c r="N10" s="897">
        <v>6156</v>
      </c>
      <c r="O10" s="896">
        <v>320.93</v>
      </c>
      <c r="P10" s="896" t="s">
        <v>623</v>
      </c>
      <c r="T10" s="898"/>
    </row>
    <row r="11" spans="1:20" s="896" customFormat="1">
      <c r="A11" s="895" t="s">
        <v>620</v>
      </c>
      <c r="B11" s="895" t="s">
        <v>621</v>
      </c>
      <c r="C11" s="895" t="s">
        <v>402</v>
      </c>
      <c r="D11" s="895" t="s">
        <v>624</v>
      </c>
      <c r="E11" s="895" t="s">
        <v>613</v>
      </c>
      <c r="F11" s="895" t="s">
        <v>614</v>
      </c>
      <c r="G11" s="897">
        <v>19064</v>
      </c>
      <c r="H11" s="896">
        <v>48</v>
      </c>
      <c r="I11" s="897">
        <v>4225</v>
      </c>
      <c r="J11" s="896">
        <v>0</v>
      </c>
      <c r="K11" s="896">
        <v>0</v>
      </c>
      <c r="L11" s="896">
        <v>0</v>
      </c>
      <c r="M11" s="896">
        <v>0</v>
      </c>
      <c r="N11" s="897">
        <v>23337</v>
      </c>
      <c r="O11" s="896">
        <v>872.19</v>
      </c>
      <c r="P11" s="896" t="s">
        <v>625</v>
      </c>
      <c r="T11" s="898"/>
    </row>
    <row r="12" spans="1:20" s="896" customFormat="1">
      <c r="A12" s="895" t="s">
        <v>620</v>
      </c>
      <c r="B12" s="895" t="s">
        <v>621</v>
      </c>
      <c r="C12" s="895" t="s">
        <v>391</v>
      </c>
      <c r="D12" s="895" t="s">
        <v>626</v>
      </c>
      <c r="E12" s="895" t="s">
        <v>613</v>
      </c>
      <c r="F12" s="895" t="s">
        <v>614</v>
      </c>
      <c r="G12" s="897">
        <v>7674</v>
      </c>
      <c r="H12" s="897">
        <v>19876</v>
      </c>
      <c r="I12" s="897">
        <v>5894</v>
      </c>
      <c r="J12" s="896">
        <v>0</v>
      </c>
      <c r="K12" s="896">
        <v>0</v>
      </c>
      <c r="L12" s="896">
        <v>0</v>
      </c>
      <c r="M12" s="896">
        <v>0</v>
      </c>
      <c r="N12" s="897">
        <v>33444</v>
      </c>
      <c r="O12" s="899">
        <v>1411.41</v>
      </c>
      <c r="P12" s="896" t="s">
        <v>627</v>
      </c>
      <c r="T12" s="898"/>
    </row>
    <row r="13" spans="1:20" s="896" customFormat="1">
      <c r="A13" s="895" t="s">
        <v>620</v>
      </c>
      <c r="B13" s="895" t="s">
        <v>621</v>
      </c>
      <c r="C13" s="895" t="s">
        <v>391</v>
      </c>
      <c r="D13" s="895" t="s">
        <v>626</v>
      </c>
      <c r="E13" s="895" t="s">
        <v>387</v>
      </c>
      <c r="F13" s="895" t="s">
        <v>628</v>
      </c>
      <c r="G13" s="896">
        <v>49</v>
      </c>
      <c r="H13" s="897">
        <v>1012</v>
      </c>
      <c r="I13" s="896">
        <v>21</v>
      </c>
      <c r="J13" s="896">
        <v>0</v>
      </c>
      <c r="K13" s="896">
        <v>0</v>
      </c>
      <c r="L13" s="896">
        <v>0</v>
      </c>
      <c r="M13" s="896">
        <v>0</v>
      </c>
      <c r="N13" s="897">
        <v>1082</v>
      </c>
      <c r="O13" s="896">
        <v>44.97</v>
      </c>
      <c r="P13" s="896" t="s">
        <v>629</v>
      </c>
      <c r="T13" s="898"/>
    </row>
    <row r="14" spans="1:20" s="896" customFormat="1">
      <c r="A14" s="895" t="s">
        <v>620</v>
      </c>
      <c r="B14" s="895" t="s">
        <v>621</v>
      </c>
      <c r="C14" s="895" t="s">
        <v>386</v>
      </c>
      <c r="D14" s="895" t="s">
        <v>630</v>
      </c>
      <c r="E14" s="895" t="s">
        <v>613</v>
      </c>
      <c r="F14" s="895" t="s">
        <v>614</v>
      </c>
      <c r="G14" s="896">
        <v>0</v>
      </c>
      <c r="H14" s="896">
        <v>0</v>
      </c>
      <c r="I14" s="896">
        <v>0</v>
      </c>
      <c r="J14" s="896">
        <v>0</v>
      </c>
      <c r="K14" s="900">
        <v>0</v>
      </c>
      <c r="L14" s="896">
        <v>0</v>
      </c>
      <c r="M14" s="896">
        <v>0</v>
      </c>
      <c r="N14" s="896">
        <v>0</v>
      </c>
      <c r="O14" s="896">
        <v>96</v>
      </c>
      <c r="P14" s="896" t="s">
        <v>631</v>
      </c>
      <c r="T14" s="898"/>
    </row>
    <row r="15" spans="1:20" s="896" customFormat="1">
      <c r="A15" s="895" t="s">
        <v>620</v>
      </c>
      <c r="B15" s="895" t="s">
        <v>621</v>
      </c>
      <c r="C15" s="895" t="s">
        <v>386</v>
      </c>
      <c r="D15" s="895" t="s">
        <v>630</v>
      </c>
      <c r="E15" s="895" t="s">
        <v>387</v>
      </c>
      <c r="F15" s="895" t="s">
        <v>628</v>
      </c>
      <c r="G15" s="896">
        <v>0</v>
      </c>
      <c r="H15" s="896">
        <v>0</v>
      </c>
      <c r="I15" s="896">
        <v>0</v>
      </c>
      <c r="J15" s="896">
        <v>0</v>
      </c>
      <c r="K15" s="896">
        <v>4</v>
      </c>
      <c r="L15" s="896">
        <v>0</v>
      </c>
      <c r="M15" s="896">
        <v>0</v>
      </c>
      <c r="N15" s="896">
        <v>0</v>
      </c>
      <c r="O15" s="896">
        <v>4</v>
      </c>
      <c r="P15" s="896" t="s">
        <v>632</v>
      </c>
      <c r="T15" s="898"/>
    </row>
    <row r="16" spans="1:20" s="896" customFormat="1">
      <c r="A16" s="895" t="s">
        <v>620</v>
      </c>
      <c r="B16" s="895" t="s">
        <v>621</v>
      </c>
      <c r="C16" s="895" t="s">
        <v>395</v>
      </c>
      <c r="D16" s="895" t="s">
        <v>633</v>
      </c>
      <c r="E16" s="895" t="s">
        <v>613</v>
      </c>
      <c r="F16" s="895" t="s">
        <v>614</v>
      </c>
      <c r="G16" s="896">
        <v>0</v>
      </c>
      <c r="H16" s="896">
        <v>307</v>
      </c>
      <c r="I16" s="896">
        <v>0</v>
      </c>
      <c r="J16" s="896">
        <v>0</v>
      </c>
      <c r="K16" s="896">
        <v>0</v>
      </c>
      <c r="L16" s="896">
        <v>0</v>
      </c>
      <c r="M16" s="896">
        <v>0</v>
      </c>
      <c r="N16" s="896">
        <v>307</v>
      </c>
      <c r="O16" s="896">
        <v>12.79</v>
      </c>
      <c r="P16" s="896" t="s">
        <v>627</v>
      </c>
      <c r="T16" s="898"/>
    </row>
    <row r="17" spans="1:20" s="896" customFormat="1">
      <c r="A17" s="895" t="s">
        <v>620</v>
      </c>
      <c r="B17" s="895" t="s">
        <v>621</v>
      </c>
      <c r="C17" s="895" t="s">
        <v>395</v>
      </c>
      <c r="D17" s="895" t="s">
        <v>633</v>
      </c>
      <c r="E17" s="895" t="s">
        <v>397</v>
      </c>
      <c r="F17" s="895" t="s">
        <v>634</v>
      </c>
      <c r="G17" s="896">
        <v>0</v>
      </c>
      <c r="H17" s="896">
        <v>34</v>
      </c>
      <c r="I17" s="896">
        <v>0</v>
      </c>
      <c r="J17" s="896">
        <v>0</v>
      </c>
      <c r="K17" s="896">
        <v>0</v>
      </c>
      <c r="L17" s="896">
        <v>0</v>
      </c>
      <c r="M17" s="896">
        <v>0</v>
      </c>
      <c r="N17" s="896">
        <v>34</v>
      </c>
      <c r="O17" s="896">
        <v>1.42</v>
      </c>
      <c r="P17" s="896" t="s">
        <v>635</v>
      </c>
      <c r="T17" s="898"/>
    </row>
    <row r="18" spans="1:20" s="896" customFormat="1">
      <c r="A18" s="895" t="s">
        <v>620</v>
      </c>
      <c r="B18" s="895" t="s">
        <v>621</v>
      </c>
      <c r="C18" s="895" t="s">
        <v>399</v>
      </c>
      <c r="D18" s="895" t="s">
        <v>636</v>
      </c>
      <c r="E18" s="895" t="s">
        <v>613</v>
      </c>
      <c r="F18" s="895" t="s">
        <v>614</v>
      </c>
      <c r="G18" s="897">
        <v>1312</v>
      </c>
      <c r="H18" s="896">
        <v>0</v>
      </c>
      <c r="I18" s="896">
        <v>0</v>
      </c>
      <c r="J18" s="896">
        <v>0</v>
      </c>
      <c r="K18" s="896">
        <v>0</v>
      </c>
      <c r="L18" s="896">
        <v>0</v>
      </c>
      <c r="M18" s="896">
        <v>0</v>
      </c>
      <c r="N18" s="897">
        <v>1312</v>
      </c>
      <c r="O18" s="896">
        <v>43.73</v>
      </c>
      <c r="P18" s="896" t="s">
        <v>637</v>
      </c>
      <c r="T18" s="898"/>
    </row>
    <row r="19" spans="1:20" s="896" customFormat="1">
      <c r="A19" s="895" t="s">
        <v>620</v>
      </c>
      <c r="B19" s="895" t="s">
        <v>621</v>
      </c>
      <c r="C19" s="895" t="s">
        <v>380</v>
      </c>
      <c r="D19" s="895" t="s">
        <v>638</v>
      </c>
      <c r="E19" s="895" t="s">
        <v>613</v>
      </c>
      <c r="F19" s="895" t="s">
        <v>614</v>
      </c>
      <c r="G19" s="896">
        <v>0</v>
      </c>
      <c r="H19" s="896">
        <v>0</v>
      </c>
      <c r="I19" s="896">
        <v>0</v>
      </c>
      <c r="J19" s="896">
        <v>873</v>
      </c>
      <c r="K19" s="896">
        <v>0</v>
      </c>
      <c r="L19" s="896">
        <v>0</v>
      </c>
      <c r="M19" s="896">
        <v>0</v>
      </c>
      <c r="N19" s="896">
        <v>0</v>
      </c>
      <c r="O19" s="896">
        <v>873</v>
      </c>
      <c r="P19" s="896" t="s">
        <v>639</v>
      </c>
      <c r="T19" s="898"/>
    </row>
    <row r="20" spans="1:20" s="896" customFormat="1">
      <c r="A20" s="895" t="s">
        <v>620</v>
      </c>
      <c r="B20" s="895" t="s">
        <v>621</v>
      </c>
      <c r="C20" s="895" t="s">
        <v>382</v>
      </c>
      <c r="D20" s="895" t="s">
        <v>640</v>
      </c>
      <c r="E20" s="895" t="s">
        <v>613</v>
      </c>
      <c r="F20" s="895" t="s">
        <v>614</v>
      </c>
      <c r="G20" s="896">
        <v>0</v>
      </c>
      <c r="H20" s="896">
        <v>0</v>
      </c>
      <c r="I20" s="896">
        <v>0</v>
      </c>
      <c r="J20" s="896">
        <v>420</v>
      </c>
      <c r="K20" s="901">
        <v>96</v>
      </c>
      <c r="L20" s="896">
        <v>0</v>
      </c>
      <c r="M20" s="896">
        <v>0</v>
      </c>
      <c r="N20" s="896">
        <v>0</v>
      </c>
      <c r="O20" s="896">
        <v>420</v>
      </c>
      <c r="P20" s="896" t="s">
        <v>631</v>
      </c>
      <c r="Q20" s="896">
        <f>SUM(O10:O20)</f>
        <v>4100.4400000000005</v>
      </c>
      <c r="R20" s="896">
        <v>4055.16</v>
      </c>
      <c r="S20" s="896">
        <f t="shared" ref="S20:S73" si="0">Q20-R20</f>
        <v>45.280000000000655</v>
      </c>
      <c r="T20" s="898">
        <f>S20/R20</f>
        <v>1.1166020576253627E-2</v>
      </c>
    </row>
    <row r="21" spans="1:20" s="892" customFormat="1">
      <c r="A21" s="891" t="s">
        <v>641</v>
      </c>
      <c r="B21" s="891" t="s">
        <v>642</v>
      </c>
      <c r="C21" s="891" t="s">
        <v>643</v>
      </c>
      <c r="D21" s="891" t="s">
        <v>644</v>
      </c>
      <c r="E21" s="891" t="s">
        <v>613</v>
      </c>
      <c r="F21" s="891" t="s">
        <v>614</v>
      </c>
      <c r="G21" s="892">
        <v>0</v>
      </c>
      <c r="H21" s="892">
        <v>0</v>
      </c>
      <c r="I21" s="892">
        <v>0</v>
      </c>
      <c r="J21" s="892">
        <v>0</v>
      </c>
      <c r="K21" s="892">
        <v>0</v>
      </c>
      <c r="L21" s="892">
        <v>0</v>
      </c>
      <c r="M21" s="892">
        <v>0</v>
      </c>
      <c r="N21" s="892">
        <v>0</v>
      </c>
      <c r="O21" s="892">
        <v>0</v>
      </c>
      <c r="P21" s="892" t="s">
        <v>645</v>
      </c>
      <c r="T21" s="894"/>
    </row>
    <row r="22" spans="1:20" s="892" customFormat="1">
      <c r="A22" s="891" t="s">
        <v>641</v>
      </c>
      <c r="B22" s="891" t="s">
        <v>642</v>
      </c>
      <c r="C22" s="891" t="s">
        <v>646</v>
      </c>
      <c r="D22" s="891" t="s">
        <v>647</v>
      </c>
      <c r="E22" s="891" t="s">
        <v>613</v>
      </c>
      <c r="F22" s="891" t="s">
        <v>614</v>
      </c>
      <c r="G22" s="892">
        <v>0</v>
      </c>
      <c r="H22" s="892">
        <v>0</v>
      </c>
      <c r="I22" s="892">
        <v>0</v>
      </c>
      <c r="J22" s="892">
        <v>733</v>
      </c>
      <c r="K22" s="892">
        <v>0</v>
      </c>
      <c r="L22" s="892">
        <v>0</v>
      </c>
      <c r="M22" s="892">
        <v>0</v>
      </c>
      <c r="N22" s="892">
        <v>0</v>
      </c>
      <c r="O22" s="892">
        <v>733</v>
      </c>
      <c r="P22" s="892" t="s">
        <v>648</v>
      </c>
      <c r="T22" s="894"/>
    </row>
    <row r="23" spans="1:20" s="892" customFormat="1">
      <c r="A23" s="891" t="s">
        <v>641</v>
      </c>
      <c r="B23" s="891" t="s">
        <v>642</v>
      </c>
      <c r="C23" s="891" t="s">
        <v>649</v>
      </c>
      <c r="D23" s="891" t="s">
        <v>650</v>
      </c>
      <c r="E23" s="891" t="s">
        <v>613</v>
      </c>
      <c r="F23" s="891" t="s">
        <v>614</v>
      </c>
      <c r="G23" s="892">
        <v>0</v>
      </c>
      <c r="H23" s="892">
        <v>0</v>
      </c>
      <c r="I23" s="892">
        <v>0</v>
      </c>
      <c r="J23" s="892">
        <v>0</v>
      </c>
      <c r="K23" s="892">
        <v>0</v>
      </c>
      <c r="L23" s="892">
        <v>0</v>
      </c>
      <c r="M23" s="892">
        <v>0</v>
      </c>
      <c r="N23" s="892">
        <v>0</v>
      </c>
      <c r="O23" s="892">
        <v>0</v>
      </c>
      <c r="P23" s="892" t="s">
        <v>645</v>
      </c>
      <c r="T23" s="894"/>
    </row>
    <row r="24" spans="1:20" s="896" customFormat="1">
      <c r="A24" s="895" t="s">
        <v>651</v>
      </c>
      <c r="B24" s="895" t="s">
        <v>652</v>
      </c>
      <c r="C24" s="895" t="s">
        <v>443</v>
      </c>
      <c r="D24" s="895" t="s">
        <v>653</v>
      </c>
      <c r="E24" s="895" t="s">
        <v>613</v>
      </c>
      <c r="F24" s="895" t="s">
        <v>614</v>
      </c>
      <c r="G24" s="897">
        <v>8286</v>
      </c>
      <c r="H24" s="897">
        <v>1655</v>
      </c>
      <c r="I24" s="896">
        <v>205</v>
      </c>
      <c r="J24" s="896">
        <v>0</v>
      </c>
      <c r="K24" s="896">
        <v>0</v>
      </c>
      <c r="L24" s="896">
        <v>0</v>
      </c>
      <c r="M24" s="896">
        <v>0</v>
      </c>
      <c r="N24" s="897">
        <v>10146</v>
      </c>
      <c r="O24" s="896">
        <v>356.55</v>
      </c>
      <c r="P24" s="896" t="s">
        <v>654</v>
      </c>
      <c r="T24" s="898"/>
    </row>
    <row r="25" spans="1:20" s="896" customFormat="1">
      <c r="A25" s="895" t="s">
        <v>651</v>
      </c>
      <c r="B25" s="895" t="s">
        <v>652</v>
      </c>
      <c r="C25" s="895" t="s">
        <v>443</v>
      </c>
      <c r="D25" s="895" t="s">
        <v>653</v>
      </c>
      <c r="E25" s="895" t="s">
        <v>424</v>
      </c>
      <c r="F25" s="895" t="s">
        <v>655</v>
      </c>
      <c r="G25" s="897">
        <v>5288</v>
      </c>
      <c r="H25" s="896">
        <v>0</v>
      </c>
      <c r="I25" s="896">
        <v>0</v>
      </c>
      <c r="J25" s="896">
        <v>0</v>
      </c>
      <c r="K25" s="896">
        <v>0</v>
      </c>
      <c r="L25" s="896">
        <v>0</v>
      </c>
      <c r="M25" s="896">
        <v>0</v>
      </c>
      <c r="N25" s="897">
        <v>5288</v>
      </c>
      <c r="O25" s="896">
        <v>176.27</v>
      </c>
      <c r="P25" s="896" t="s">
        <v>656</v>
      </c>
      <c r="T25" s="898"/>
    </row>
    <row r="26" spans="1:20" s="896" customFormat="1">
      <c r="A26" s="895" t="s">
        <v>651</v>
      </c>
      <c r="B26" s="895" t="s">
        <v>652</v>
      </c>
      <c r="C26" s="895" t="s">
        <v>418</v>
      </c>
      <c r="D26" s="895" t="s">
        <v>657</v>
      </c>
      <c r="E26" s="895" t="s">
        <v>613</v>
      </c>
      <c r="F26" s="895" t="s">
        <v>614</v>
      </c>
      <c r="G26" s="896">
        <v>0</v>
      </c>
      <c r="H26" s="896">
        <v>0</v>
      </c>
      <c r="I26" s="896">
        <v>0</v>
      </c>
      <c r="J26" s="896">
        <v>271</v>
      </c>
      <c r="K26" s="896">
        <v>0</v>
      </c>
      <c r="L26" s="896">
        <v>0</v>
      </c>
      <c r="M26" s="896">
        <v>0</v>
      </c>
      <c r="N26" s="896">
        <v>0</v>
      </c>
      <c r="O26" s="896">
        <v>271</v>
      </c>
      <c r="P26" s="896" t="s">
        <v>658</v>
      </c>
      <c r="T26" s="898"/>
    </row>
    <row r="27" spans="1:20" s="896" customFormat="1">
      <c r="A27" s="895" t="s">
        <v>651</v>
      </c>
      <c r="B27" s="895" t="s">
        <v>652</v>
      </c>
      <c r="C27" s="895" t="s">
        <v>418</v>
      </c>
      <c r="D27" s="895" t="s">
        <v>657</v>
      </c>
      <c r="E27" s="895" t="s">
        <v>420</v>
      </c>
      <c r="F27" s="895" t="s">
        <v>659</v>
      </c>
      <c r="G27" s="896">
        <v>0</v>
      </c>
      <c r="H27" s="896">
        <v>0</v>
      </c>
      <c r="I27" s="896">
        <v>0</v>
      </c>
      <c r="J27" s="896">
        <v>135</v>
      </c>
      <c r="K27" s="896">
        <v>0</v>
      </c>
      <c r="L27" s="896">
        <v>0</v>
      </c>
      <c r="M27" s="896">
        <v>0</v>
      </c>
      <c r="N27" s="896">
        <v>0</v>
      </c>
      <c r="O27" s="896">
        <v>135</v>
      </c>
      <c r="P27" s="896" t="s">
        <v>660</v>
      </c>
      <c r="T27" s="898"/>
    </row>
    <row r="28" spans="1:20" s="896" customFormat="1">
      <c r="A28" s="895" t="s">
        <v>651</v>
      </c>
      <c r="B28" s="895" t="s">
        <v>652</v>
      </c>
      <c r="C28" s="895" t="s">
        <v>418</v>
      </c>
      <c r="D28" s="895" t="s">
        <v>657</v>
      </c>
      <c r="E28" s="895" t="s">
        <v>422</v>
      </c>
      <c r="F28" s="895" t="s">
        <v>661</v>
      </c>
      <c r="G28" s="896">
        <v>0</v>
      </c>
      <c r="H28" s="896">
        <v>0</v>
      </c>
      <c r="I28" s="896">
        <v>0</v>
      </c>
      <c r="J28" s="896">
        <v>178</v>
      </c>
      <c r="K28" s="896">
        <v>0</v>
      </c>
      <c r="L28" s="896">
        <v>0</v>
      </c>
      <c r="M28" s="896">
        <v>0</v>
      </c>
      <c r="N28" s="896">
        <v>0</v>
      </c>
      <c r="O28" s="896">
        <v>178</v>
      </c>
      <c r="P28" s="896" t="s">
        <v>662</v>
      </c>
      <c r="T28" s="898"/>
    </row>
    <row r="29" spans="1:20" s="896" customFormat="1">
      <c r="A29" s="895" t="s">
        <v>651</v>
      </c>
      <c r="B29" s="895" t="s">
        <v>652</v>
      </c>
      <c r="C29" s="895" t="s">
        <v>418</v>
      </c>
      <c r="D29" s="895" t="s">
        <v>657</v>
      </c>
      <c r="E29" s="895" t="s">
        <v>424</v>
      </c>
      <c r="F29" s="895" t="s">
        <v>655</v>
      </c>
      <c r="G29" s="896">
        <v>0</v>
      </c>
      <c r="H29" s="896">
        <v>0</v>
      </c>
      <c r="I29" s="896">
        <v>0</v>
      </c>
      <c r="J29" s="896">
        <v>60</v>
      </c>
      <c r="K29" s="896">
        <v>0</v>
      </c>
      <c r="L29" s="896">
        <v>0</v>
      </c>
      <c r="M29" s="896">
        <v>0</v>
      </c>
      <c r="N29" s="896">
        <v>0</v>
      </c>
      <c r="O29" s="896">
        <v>60</v>
      </c>
      <c r="P29" s="896" t="s">
        <v>663</v>
      </c>
      <c r="T29" s="898"/>
    </row>
    <row r="30" spans="1:20" s="896" customFormat="1">
      <c r="A30" s="895" t="s">
        <v>651</v>
      </c>
      <c r="B30" s="895" t="s">
        <v>652</v>
      </c>
      <c r="C30" s="895" t="s">
        <v>418</v>
      </c>
      <c r="D30" s="895" t="s">
        <v>657</v>
      </c>
      <c r="E30" s="895" t="s">
        <v>426</v>
      </c>
      <c r="F30" s="895" t="s">
        <v>664</v>
      </c>
      <c r="G30" s="896">
        <v>0</v>
      </c>
      <c r="H30" s="896">
        <v>0</v>
      </c>
      <c r="I30" s="896">
        <v>0</v>
      </c>
      <c r="J30" s="896">
        <v>66</v>
      </c>
      <c r="K30" s="896">
        <v>0</v>
      </c>
      <c r="L30" s="896">
        <v>0</v>
      </c>
      <c r="M30" s="896">
        <v>0</v>
      </c>
      <c r="N30" s="896">
        <v>0</v>
      </c>
      <c r="O30" s="896">
        <v>66</v>
      </c>
      <c r="P30" s="896" t="s">
        <v>665</v>
      </c>
      <c r="T30" s="898"/>
    </row>
    <row r="31" spans="1:20" s="896" customFormat="1">
      <c r="A31" s="895" t="s">
        <v>651</v>
      </c>
      <c r="B31" s="895" t="s">
        <v>652</v>
      </c>
      <c r="C31" s="895" t="s">
        <v>418</v>
      </c>
      <c r="D31" s="895" t="s">
        <v>657</v>
      </c>
      <c r="E31" s="895" t="s">
        <v>428</v>
      </c>
      <c r="F31" s="895" t="s">
        <v>666</v>
      </c>
      <c r="G31" s="896">
        <v>0</v>
      </c>
      <c r="H31" s="896">
        <v>0</v>
      </c>
      <c r="I31" s="896">
        <v>0</v>
      </c>
      <c r="J31" s="896">
        <v>20</v>
      </c>
      <c r="K31" s="896">
        <v>0</v>
      </c>
      <c r="L31" s="896">
        <v>0</v>
      </c>
      <c r="M31" s="896">
        <v>0</v>
      </c>
      <c r="N31" s="896">
        <v>0</v>
      </c>
      <c r="O31" s="896">
        <v>20</v>
      </c>
      <c r="P31" s="896" t="s">
        <v>667</v>
      </c>
      <c r="T31" s="898"/>
    </row>
    <row r="32" spans="1:20" s="896" customFormat="1">
      <c r="A32" s="895" t="s">
        <v>651</v>
      </c>
      <c r="B32" s="895" t="s">
        <v>652</v>
      </c>
      <c r="C32" s="895" t="s">
        <v>456</v>
      </c>
      <c r="D32" s="895" t="s">
        <v>668</v>
      </c>
      <c r="E32" s="895" t="s">
        <v>613</v>
      </c>
      <c r="F32" s="895" t="s">
        <v>614</v>
      </c>
      <c r="G32" s="897">
        <v>15042</v>
      </c>
      <c r="H32" s="897">
        <v>8232</v>
      </c>
      <c r="I32" s="897">
        <v>1103</v>
      </c>
      <c r="J32" s="896">
        <v>0</v>
      </c>
      <c r="K32" s="896">
        <v>0</v>
      </c>
      <c r="L32" s="896">
        <v>0</v>
      </c>
      <c r="M32" s="896">
        <v>1</v>
      </c>
      <c r="N32" s="897">
        <v>24376</v>
      </c>
      <c r="O32" s="896">
        <v>905.62</v>
      </c>
      <c r="P32" s="896" t="s">
        <v>669</v>
      </c>
      <c r="T32" s="898"/>
    </row>
    <row r="33" spans="1:20" s="896" customFormat="1">
      <c r="A33" s="895" t="s">
        <v>651</v>
      </c>
      <c r="B33" s="895" t="s">
        <v>652</v>
      </c>
      <c r="C33" s="895" t="s">
        <v>456</v>
      </c>
      <c r="D33" s="895" t="s">
        <v>668</v>
      </c>
      <c r="E33" s="895" t="s">
        <v>422</v>
      </c>
      <c r="F33" s="895" t="s">
        <v>661</v>
      </c>
      <c r="G33" s="896">
        <v>0</v>
      </c>
      <c r="H33" s="896">
        <v>299</v>
      </c>
      <c r="I33" s="896">
        <v>0</v>
      </c>
      <c r="J33" s="896">
        <v>0</v>
      </c>
      <c r="K33" s="896">
        <v>0</v>
      </c>
      <c r="L33" s="896">
        <v>0</v>
      </c>
      <c r="M33" s="896">
        <v>0</v>
      </c>
      <c r="N33" s="896">
        <v>299</v>
      </c>
      <c r="O33" s="896">
        <v>12.46</v>
      </c>
      <c r="P33" s="896" t="s">
        <v>662</v>
      </c>
      <c r="T33" s="898"/>
    </row>
    <row r="34" spans="1:20" s="896" customFormat="1">
      <c r="A34" s="895" t="s">
        <v>651</v>
      </c>
      <c r="B34" s="895" t="s">
        <v>652</v>
      </c>
      <c r="C34" s="895" t="s">
        <v>456</v>
      </c>
      <c r="D34" s="895" t="s">
        <v>668</v>
      </c>
      <c r="E34" s="895" t="s">
        <v>446</v>
      </c>
      <c r="F34" s="895" t="s">
        <v>670</v>
      </c>
      <c r="G34" s="896">
        <v>612</v>
      </c>
      <c r="H34" s="896">
        <v>1</v>
      </c>
      <c r="I34" s="896">
        <v>0</v>
      </c>
      <c r="J34" s="896">
        <v>0</v>
      </c>
      <c r="K34" s="896">
        <v>0</v>
      </c>
      <c r="L34" s="896">
        <v>0</v>
      </c>
      <c r="M34" s="896">
        <v>0</v>
      </c>
      <c r="N34" s="896">
        <v>613</v>
      </c>
      <c r="O34" s="896">
        <v>20.440000000000001</v>
      </c>
      <c r="P34" s="896" t="s">
        <v>671</v>
      </c>
      <c r="T34" s="898"/>
    </row>
    <row r="35" spans="1:20" s="896" customFormat="1">
      <c r="A35" s="895" t="s">
        <v>651</v>
      </c>
      <c r="B35" s="895" t="s">
        <v>652</v>
      </c>
      <c r="C35" s="895" t="s">
        <v>450</v>
      </c>
      <c r="D35" s="895" t="s">
        <v>672</v>
      </c>
      <c r="E35" s="895" t="s">
        <v>613</v>
      </c>
      <c r="F35" s="895" t="s">
        <v>614</v>
      </c>
      <c r="G35" s="896">
        <v>0</v>
      </c>
      <c r="H35" s="897">
        <v>6969</v>
      </c>
      <c r="I35" s="896">
        <v>0</v>
      </c>
      <c r="J35" s="896">
        <v>0</v>
      </c>
      <c r="K35" s="896">
        <v>0</v>
      </c>
      <c r="L35" s="896">
        <v>0</v>
      </c>
      <c r="M35" s="896">
        <v>0</v>
      </c>
      <c r="N35" s="897">
        <v>6969</v>
      </c>
      <c r="O35" s="896">
        <v>290.38</v>
      </c>
      <c r="P35" s="896" t="s">
        <v>673</v>
      </c>
      <c r="T35" s="898"/>
    </row>
    <row r="36" spans="1:20" s="896" customFormat="1">
      <c r="A36" s="895" t="s">
        <v>651</v>
      </c>
      <c r="B36" s="895" t="s">
        <v>652</v>
      </c>
      <c r="C36" s="895" t="s">
        <v>450</v>
      </c>
      <c r="D36" s="895" t="s">
        <v>672</v>
      </c>
      <c r="E36" s="895" t="s">
        <v>452</v>
      </c>
      <c r="F36" s="895" t="s">
        <v>674</v>
      </c>
      <c r="G36" s="896">
        <v>0</v>
      </c>
      <c r="H36" s="897">
        <v>10102</v>
      </c>
      <c r="I36" s="896">
        <v>0</v>
      </c>
      <c r="J36" s="896">
        <v>0</v>
      </c>
      <c r="K36" s="896">
        <v>0</v>
      </c>
      <c r="L36" s="896">
        <v>0</v>
      </c>
      <c r="M36" s="896">
        <v>0</v>
      </c>
      <c r="N36" s="897">
        <v>10102</v>
      </c>
      <c r="O36" s="896">
        <v>420.92</v>
      </c>
      <c r="P36" s="896" t="s">
        <v>675</v>
      </c>
      <c r="T36" s="898"/>
    </row>
    <row r="37" spans="1:20" s="896" customFormat="1">
      <c r="A37" s="895" t="s">
        <v>651</v>
      </c>
      <c r="B37" s="895" t="s">
        <v>652</v>
      </c>
      <c r="C37" s="895" t="s">
        <v>433</v>
      </c>
      <c r="D37" s="895" t="s">
        <v>676</v>
      </c>
      <c r="E37" s="895" t="s">
        <v>613</v>
      </c>
      <c r="F37" s="895" t="s">
        <v>614</v>
      </c>
      <c r="G37" s="896">
        <v>169</v>
      </c>
      <c r="H37" s="897">
        <v>1355</v>
      </c>
      <c r="I37" s="896">
        <v>795</v>
      </c>
      <c r="J37" s="896">
        <v>0</v>
      </c>
      <c r="K37" s="896">
        <v>0</v>
      </c>
      <c r="L37" s="896">
        <v>0</v>
      </c>
      <c r="M37" s="896">
        <v>24</v>
      </c>
      <c r="N37" s="897">
        <v>2295</v>
      </c>
      <c r="O37" s="896">
        <v>104.93</v>
      </c>
      <c r="P37" s="896" t="s">
        <v>658</v>
      </c>
      <c r="T37" s="898"/>
    </row>
    <row r="38" spans="1:20" s="896" customFormat="1">
      <c r="A38" s="895" t="s">
        <v>651</v>
      </c>
      <c r="B38" s="895" t="s">
        <v>652</v>
      </c>
      <c r="C38" s="895" t="s">
        <v>433</v>
      </c>
      <c r="D38" s="895" t="s">
        <v>676</v>
      </c>
      <c r="E38" s="895" t="s">
        <v>420</v>
      </c>
      <c r="F38" s="895" t="s">
        <v>659</v>
      </c>
      <c r="G38" s="896">
        <v>0</v>
      </c>
      <c r="H38" s="896">
        <v>37</v>
      </c>
      <c r="I38" s="896">
        <v>26</v>
      </c>
      <c r="J38" s="896">
        <v>0</v>
      </c>
      <c r="K38" s="896">
        <v>0</v>
      </c>
      <c r="L38" s="896">
        <v>0</v>
      </c>
      <c r="M38" s="896">
        <v>0</v>
      </c>
      <c r="N38" s="896">
        <v>63</v>
      </c>
      <c r="O38" s="896">
        <v>2.99</v>
      </c>
      <c r="P38" s="896" t="s">
        <v>677</v>
      </c>
      <c r="T38" s="898"/>
    </row>
    <row r="39" spans="1:20" s="896" customFormat="1">
      <c r="A39" s="895" t="s">
        <v>651</v>
      </c>
      <c r="B39" s="895" t="s">
        <v>652</v>
      </c>
      <c r="C39" s="895" t="s">
        <v>433</v>
      </c>
      <c r="D39" s="895" t="s">
        <v>676</v>
      </c>
      <c r="E39" s="895" t="s">
        <v>422</v>
      </c>
      <c r="F39" s="895" t="s">
        <v>661</v>
      </c>
      <c r="G39" s="896">
        <v>0</v>
      </c>
      <c r="H39" s="896">
        <v>274</v>
      </c>
      <c r="I39" s="896">
        <v>692</v>
      </c>
      <c r="J39" s="896">
        <v>0</v>
      </c>
      <c r="K39" s="896">
        <v>0</v>
      </c>
      <c r="L39" s="896">
        <v>0</v>
      </c>
      <c r="M39" s="896">
        <v>21</v>
      </c>
      <c r="N39" s="896">
        <v>945</v>
      </c>
      <c r="O39" s="896">
        <v>48.69</v>
      </c>
      <c r="P39" s="896" t="s">
        <v>662</v>
      </c>
      <c r="T39" s="898"/>
    </row>
    <row r="40" spans="1:20" s="896" customFormat="1">
      <c r="A40" s="895" t="s">
        <v>651</v>
      </c>
      <c r="B40" s="895" t="s">
        <v>652</v>
      </c>
      <c r="C40" s="895" t="s">
        <v>433</v>
      </c>
      <c r="D40" s="895" t="s">
        <v>676</v>
      </c>
      <c r="E40" s="895" t="s">
        <v>426</v>
      </c>
      <c r="F40" s="895" t="s">
        <v>664</v>
      </c>
      <c r="G40" s="896">
        <v>0</v>
      </c>
      <c r="H40" s="896">
        <v>0</v>
      </c>
      <c r="I40" s="896">
        <v>36</v>
      </c>
      <c r="J40" s="896">
        <v>0</v>
      </c>
      <c r="K40" s="896">
        <v>0</v>
      </c>
      <c r="L40" s="896">
        <v>0</v>
      </c>
      <c r="M40" s="896">
        <v>0</v>
      </c>
      <c r="N40" s="896">
        <v>36</v>
      </c>
      <c r="O40" s="896">
        <v>2</v>
      </c>
      <c r="P40" s="896" t="s">
        <v>665</v>
      </c>
      <c r="T40" s="898"/>
    </row>
    <row r="41" spans="1:20" s="896" customFormat="1">
      <c r="A41" s="895" t="s">
        <v>651</v>
      </c>
      <c r="B41" s="895" t="s">
        <v>652</v>
      </c>
      <c r="C41" s="895" t="s">
        <v>441</v>
      </c>
      <c r="D41" s="895" t="s">
        <v>678</v>
      </c>
      <c r="E41" s="895" t="s">
        <v>420</v>
      </c>
      <c r="F41" s="895" t="s">
        <v>659</v>
      </c>
      <c r="G41" s="897">
        <v>1975</v>
      </c>
      <c r="H41" s="896">
        <v>0</v>
      </c>
      <c r="I41" s="896">
        <v>0</v>
      </c>
      <c r="J41" s="896">
        <v>0</v>
      </c>
      <c r="K41" s="896">
        <v>0</v>
      </c>
      <c r="L41" s="896">
        <v>0</v>
      </c>
      <c r="M41" s="896">
        <v>0</v>
      </c>
      <c r="N41" s="897">
        <v>1975</v>
      </c>
      <c r="O41" s="896">
        <v>65.83</v>
      </c>
      <c r="P41" s="896" t="s">
        <v>679</v>
      </c>
      <c r="T41" s="898"/>
    </row>
    <row r="42" spans="1:20" s="896" customFormat="1">
      <c r="A42" s="895" t="s">
        <v>651</v>
      </c>
      <c r="B42" s="895" t="s">
        <v>652</v>
      </c>
      <c r="C42" s="902" t="s">
        <v>431</v>
      </c>
      <c r="D42" s="902" t="s">
        <v>680</v>
      </c>
      <c r="E42" s="895" t="s">
        <v>420</v>
      </c>
      <c r="F42" s="895" t="s">
        <v>659</v>
      </c>
      <c r="G42" s="896">
        <v>0</v>
      </c>
      <c r="H42" s="896">
        <v>0</v>
      </c>
      <c r="I42" s="896">
        <v>0</v>
      </c>
      <c r="J42" s="903">
        <v>415</v>
      </c>
      <c r="K42" s="896">
        <v>98</v>
      </c>
      <c r="L42" s="896">
        <v>0</v>
      </c>
      <c r="M42" s="896">
        <v>0</v>
      </c>
      <c r="N42" s="896">
        <v>0</v>
      </c>
      <c r="O42" s="896">
        <v>98</v>
      </c>
      <c r="P42" s="896" t="s">
        <v>681</v>
      </c>
      <c r="T42" s="898"/>
    </row>
    <row r="43" spans="1:20" s="896" customFormat="1">
      <c r="A43" s="895" t="s">
        <v>651</v>
      </c>
      <c r="B43" s="895" t="s">
        <v>652</v>
      </c>
      <c r="C43" s="895" t="s">
        <v>436</v>
      </c>
      <c r="D43" s="895" t="s">
        <v>680</v>
      </c>
      <c r="E43" s="895" t="s">
        <v>420</v>
      </c>
      <c r="F43" s="895" t="s">
        <v>659</v>
      </c>
      <c r="G43" s="896">
        <v>0</v>
      </c>
      <c r="H43" s="896">
        <v>136</v>
      </c>
      <c r="I43" s="896">
        <v>239</v>
      </c>
      <c r="J43" s="904">
        <v>0</v>
      </c>
      <c r="K43" s="896">
        <v>0</v>
      </c>
      <c r="L43" s="896">
        <v>0</v>
      </c>
      <c r="M43" s="896">
        <v>0</v>
      </c>
      <c r="N43" s="896">
        <v>375</v>
      </c>
      <c r="O43" s="896">
        <v>18.940000000000001</v>
      </c>
      <c r="P43" s="896" t="s">
        <v>682</v>
      </c>
      <c r="T43" s="898"/>
    </row>
    <row r="44" spans="1:20" s="896" customFormat="1">
      <c r="A44" s="895" t="s">
        <v>651</v>
      </c>
      <c r="B44" s="895" t="s">
        <v>652</v>
      </c>
      <c r="C44" s="902" t="s">
        <v>683</v>
      </c>
      <c r="D44" s="902" t="s">
        <v>684</v>
      </c>
      <c r="E44" s="895" t="s">
        <v>420</v>
      </c>
      <c r="F44" s="895" t="s">
        <v>659</v>
      </c>
      <c r="G44" s="896">
        <v>0</v>
      </c>
      <c r="H44" s="896">
        <v>0</v>
      </c>
      <c r="I44" s="896">
        <v>0</v>
      </c>
      <c r="J44" s="905">
        <v>0</v>
      </c>
      <c r="K44" s="896">
        <v>0</v>
      </c>
      <c r="L44" s="896">
        <v>0</v>
      </c>
      <c r="M44" s="896">
        <v>0</v>
      </c>
      <c r="N44" s="896">
        <v>0</v>
      </c>
      <c r="O44" s="896">
        <v>415</v>
      </c>
      <c r="P44" s="896" t="s">
        <v>681</v>
      </c>
      <c r="Q44" s="896">
        <f>SUM(O24:O44)</f>
        <v>3669.02</v>
      </c>
      <c r="R44" s="896">
        <v>3677.2400000000002</v>
      </c>
      <c r="S44" s="896">
        <f>Q44-R44</f>
        <v>-8.2200000000002547</v>
      </c>
      <c r="T44" s="898">
        <f>S44/R44</f>
        <v>-2.2353721813099647E-3</v>
      </c>
    </row>
    <row r="45" spans="1:20" s="892" customFormat="1">
      <c r="A45" s="891" t="s">
        <v>685</v>
      </c>
      <c r="B45" s="891" t="s">
        <v>686</v>
      </c>
      <c r="C45" s="891" t="s">
        <v>468</v>
      </c>
      <c r="D45" s="891" t="s">
        <v>687</v>
      </c>
      <c r="E45" s="891" t="s">
        <v>613</v>
      </c>
      <c r="F45" s="891" t="s">
        <v>614</v>
      </c>
      <c r="G45" s="892">
        <v>144</v>
      </c>
      <c r="H45" s="893">
        <v>12483</v>
      </c>
      <c r="I45" s="893">
        <v>1863</v>
      </c>
      <c r="J45" s="892">
        <v>0</v>
      </c>
      <c r="K45" s="892">
        <v>0</v>
      </c>
      <c r="L45" s="892">
        <v>0</v>
      </c>
      <c r="M45" s="892">
        <v>85</v>
      </c>
      <c r="N45" s="893">
        <v>14405</v>
      </c>
      <c r="O45" s="892">
        <v>623.70000000000005</v>
      </c>
      <c r="P45" s="892" t="s">
        <v>688</v>
      </c>
      <c r="T45" s="894"/>
    </row>
    <row r="46" spans="1:20" s="892" customFormat="1">
      <c r="A46" s="891" t="s">
        <v>685</v>
      </c>
      <c r="B46" s="891" t="s">
        <v>686</v>
      </c>
      <c r="C46" s="891" t="s">
        <v>469</v>
      </c>
      <c r="D46" s="891" t="s">
        <v>689</v>
      </c>
      <c r="E46" s="891" t="s">
        <v>613</v>
      </c>
      <c r="F46" s="891" t="s">
        <v>614</v>
      </c>
      <c r="G46" s="892">
        <v>0</v>
      </c>
      <c r="H46" s="893">
        <v>13897</v>
      </c>
      <c r="I46" s="892">
        <v>0</v>
      </c>
      <c r="J46" s="892">
        <v>0</v>
      </c>
      <c r="K46" s="892">
        <v>0</v>
      </c>
      <c r="L46" s="892">
        <v>0</v>
      </c>
      <c r="M46" s="892">
        <v>0</v>
      </c>
      <c r="N46" s="893">
        <v>13897</v>
      </c>
      <c r="O46" s="892">
        <v>579.04</v>
      </c>
      <c r="P46" s="892" t="s">
        <v>690</v>
      </c>
      <c r="T46" s="894"/>
    </row>
    <row r="47" spans="1:20" s="892" customFormat="1">
      <c r="A47" s="891" t="s">
        <v>685</v>
      </c>
      <c r="B47" s="891" t="s">
        <v>686</v>
      </c>
      <c r="C47" s="891" t="s">
        <v>470</v>
      </c>
      <c r="D47" s="891" t="s">
        <v>691</v>
      </c>
      <c r="E47" s="891" t="s">
        <v>613</v>
      </c>
      <c r="F47" s="891" t="s">
        <v>614</v>
      </c>
      <c r="G47" s="892">
        <v>0</v>
      </c>
      <c r="H47" s="893">
        <v>3641</v>
      </c>
      <c r="I47" s="892">
        <v>223</v>
      </c>
      <c r="J47" s="892">
        <v>0</v>
      </c>
      <c r="K47" s="892">
        <v>0</v>
      </c>
      <c r="L47" s="892">
        <v>0</v>
      </c>
      <c r="M47" s="892">
        <v>0</v>
      </c>
      <c r="N47" s="893">
        <v>3864</v>
      </c>
      <c r="O47" s="892">
        <v>164.1</v>
      </c>
      <c r="P47" s="892" t="s">
        <v>692</v>
      </c>
      <c r="T47" s="894"/>
    </row>
    <row r="48" spans="1:20" s="892" customFormat="1">
      <c r="A48" s="891" t="s">
        <v>685</v>
      </c>
      <c r="B48" s="891" t="s">
        <v>686</v>
      </c>
      <c r="C48" s="891" t="s">
        <v>472</v>
      </c>
      <c r="D48" s="891" t="s">
        <v>693</v>
      </c>
      <c r="E48" s="891" t="s">
        <v>613</v>
      </c>
      <c r="F48" s="891" t="s">
        <v>614</v>
      </c>
      <c r="G48" s="892">
        <v>0</v>
      </c>
      <c r="H48" s="893">
        <v>12490</v>
      </c>
      <c r="I48" s="892">
        <v>0</v>
      </c>
      <c r="J48" s="892">
        <v>0</v>
      </c>
      <c r="K48" s="892">
        <v>0</v>
      </c>
      <c r="L48" s="892">
        <v>0</v>
      </c>
      <c r="M48" s="892">
        <v>0</v>
      </c>
      <c r="N48" s="893">
        <v>12490</v>
      </c>
      <c r="O48" s="892">
        <v>520.41999999999996</v>
      </c>
      <c r="P48" s="892" t="s">
        <v>694</v>
      </c>
      <c r="T48" s="894"/>
    </row>
    <row r="49" spans="1:20" s="892" customFormat="1">
      <c r="A49" s="891" t="s">
        <v>685</v>
      </c>
      <c r="B49" s="891" t="s">
        <v>686</v>
      </c>
      <c r="C49" s="891" t="s">
        <v>474</v>
      </c>
      <c r="D49" s="891" t="s">
        <v>695</v>
      </c>
      <c r="E49" s="891" t="s">
        <v>613</v>
      </c>
      <c r="F49" s="891" t="s">
        <v>614</v>
      </c>
      <c r="G49" s="892">
        <v>0</v>
      </c>
      <c r="H49" s="892">
        <v>0</v>
      </c>
      <c r="I49" s="892">
        <v>0</v>
      </c>
      <c r="J49" s="892">
        <v>935</v>
      </c>
      <c r="K49" s="892">
        <v>0</v>
      </c>
      <c r="L49" s="892">
        <v>0</v>
      </c>
      <c r="M49" s="892">
        <v>0</v>
      </c>
      <c r="N49" s="892">
        <v>0</v>
      </c>
      <c r="O49" s="892">
        <v>935</v>
      </c>
      <c r="P49" s="892" t="s">
        <v>696</v>
      </c>
      <c r="Q49" s="892">
        <f>SUM(O45:O49)</f>
        <v>2822.2599999999998</v>
      </c>
      <c r="R49" s="892">
        <v>2932.31</v>
      </c>
      <c r="S49" s="892">
        <f t="shared" si="0"/>
        <v>-110.05000000000018</v>
      </c>
      <c r="T49" s="894">
        <f>S49/R49</f>
        <v>-3.7530138355085306E-2</v>
      </c>
    </row>
    <row r="50" spans="1:20" s="896" customFormat="1">
      <c r="A50" s="895" t="s">
        <v>697</v>
      </c>
      <c r="B50" s="895" t="s">
        <v>698</v>
      </c>
      <c r="C50" s="895" t="s">
        <v>490</v>
      </c>
      <c r="D50" s="895" t="s">
        <v>699</v>
      </c>
      <c r="E50" s="895" t="s">
        <v>613</v>
      </c>
      <c r="F50" s="895" t="s">
        <v>614</v>
      </c>
      <c r="G50" s="897">
        <v>8225</v>
      </c>
      <c r="H50" s="897">
        <v>24709</v>
      </c>
      <c r="I50" s="897">
        <v>6156</v>
      </c>
      <c r="J50" s="896">
        <v>0</v>
      </c>
      <c r="K50" s="896">
        <v>0</v>
      </c>
      <c r="L50" s="896">
        <v>0</v>
      </c>
      <c r="M50" s="896">
        <v>0</v>
      </c>
      <c r="N50" s="897">
        <v>39090</v>
      </c>
      <c r="O50" s="899">
        <v>1645.71</v>
      </c>
      <c r="P50" s="896" t="s">
        <v>700</v>
      </c>
      <c r="T50" s="898"/>
    </row>
    <row r="51" spans="1:20" s="896" customFormat="1">
      <c r="A51" s="895" t="s">
        <v>697</v>
      </c>
      <c r="B51" s="895" t="s">
        <v>698</v>
      </c>
      <c r="C51" s="895" t="s">
        <v>490</v>
      </c>
      <c r="D51" s="895" t="s">
        <v>699</v>
      </c>
      <c r="E51" s="895" t="s">
        <v>481</v>
      </c>
      <c r="F51" s="895" t="s">
        <v>701</v>
      </c>
      <c r="G51" s="896">
        <v>0</v>
      </c>
      <c r="H51" s="897">
        <v>1460</v>
      </c>
      <c r="I51" s="896">
        <v>0</v>
      </c>
      <c r="J51" s="896">
        <v>0</v>
      </c>
      <c r="K51" s="896">
        <v>0</v>
      </c>
      <c r="L51" s="896">
        <v>0</v>
      </c>
      <c r="M51" s="896">
        <v>0</v>
      </c>
      <c r="N51" s="897">
        <v>1460</v>
      </c>
      <c r="O51" s="896">
        <v>60.83</v>
      </c>
      <c r="P51" s="896" t="s">
        <v>702</v>
      </c>
      <c r="T51" s="898"/>
    </row>
    <row r="52" spans="1:20" s="896" customFormat="1">
      <c r="A52" s="895" t="s">
        <v>697</v>
      </c>
      <c r="B52" s="895" t="s">
        <v>698</v>
      </c>
      <c r="C52" s="895" t="s">
        <v>490</v>
      </c>
      <c r="D52" s="895" t="s">
        <v>699</v>
      </c>
      <c r="E52" s="895" t="s">
        <v>493</v>
      </c>
      <c r="F52" s="895" t="s">
        <v>703</v>
      </c>
      <c r="G52" s="896">
        <v>0</v>
      </c>
      <c r="H52" s="897">
        <v>7368</v>
      </c>
      <c r="I52" s="896">
        <v>0</v>
      </c>
      <c r="J52" s="896">
        <v>0</v>
      </c>
      <c r="K52" s="896">
        <v>0</v>
      </c>
      <c r="L52" s="896">
        <v>0</v>
      </c>
      <c r="M52" s="896">
        <v>0</v>
      </c>
      <c r="N52" s="897">
        <v>7368</v>
      </c>
      <c r="O52" s="896">
        <v>307</v>
      </c>
      <c r="P52" s="896" t="s">
        <v>704</v>
      </c>
      <c r="T52" s="898"/>
    </row>
    <row r="53" spans="1:20" s="896" customFormat="1">
      <c r="A53" s="895" t="s">
        <v>697</v>
      </c>
      <c r="B53" s="895" t="s">
        <v>698</v>
      </c>
      <c r="C53" s="895" t="s">
        <v>490</v>
      </c>
      <c r="D53" s="895" t="s">
        <v>699</v>
      </c>
      <c r="E53" s="895" t="s">
        <v>483</v>
      </c>
      <c r="F53" s="895" t="s">
        <v>705</v>
      </c>
      <c r="G53" s="896">
        <v>0</v>
      </c>
      <c r="H53" s="897">
        <v>1538</v>
      </c>
      <c r="I53" s="896">
        <v>0</v>
      </c>
      <c r="J53" s="896">
        <v>0</v>
      </c>
      <c r="K53" s="896">
        <v>0</v>
      </c>
      <c r="L53" s="896">
        <v>0</v>
      </c>
      <c r="M53" s="896">
        <v>0</v>
      </c>
      <c r="N53" s="897">
        <v>1538</v>
      </c>
      <c r="O53" s="896">
        <v>64.08</v>
      </c>
      <c r="P53" s="896" t="s">
        <v>706</v>
      </c>
      <c r="T53" s="898"/>
    </row>
    <row r="54" spans="1:20" s="896" customFormat="1">
      <c r="A54" s="895" t="s">
        <v>697</v>
      </c>
      <c r="B54" s="895" t="s">
        <v>698</v>
      </c>
      <c r="C54" s="895" t="s">
        <v>501</v>
      </c>
      <c r="D54" s="895" t="s">
        <v>707</v>
      </c>
      <c r="E54" s="895" t="s">
        <v>613</v>
      </c>
      <c r="F54" s="895" t="s">
        <v>614</v>
      </c>
      <c r="G54" s="896">
        <v>0</v>
      </c>
      <c r="H54" s="897">
        <v>1105</v>
      </c>
      <c r="I54" s="896">
        <v>0</v>
      </c>
      <c r="J54" s="896">
        <v>0</v>
      </c>
      <c r="K54" s="896">
        <v>0</v>
      </c>
      <c r="L54" s="896">
        <v>0</v>
      </c>
      <c r="M54" s="896">
        <v>0</v>
      </c>
      <c r="N54" s="897">
        <v>1105</v>
      </c>
      <c r="O54" s="896">
        <v>46.04</v>
      </c>
      <c r="P54" s="896" t="s">
        <v>708</v>
      </c>
      <c r="T54" s="898"/>
    </row>
    <row r="55" spans="1:20" s="896" customFormat="1">
      <c r="A55" s="895" t="s">
        <v>697</v>
      </c>
      <c r="B55" s="895" t="s">
        <v>698</v>
      </c>
      <c r="C55" s="895" t="s">
        <v>501</v>
      </c>
      <c r="D55" s="895" t="s">
        <v>707</v>
      </c>
      <c r="E55" s="895" t="s">
        <v>481</v>
      </c>
      <c r="F55" s="895" t="s">
        <v>701</v>
      </c>
      <c r="G55" s="896">
        <v>0</v>
      </c>
      <c r="H55" s="897">
        <v>4457</v>
      </c>
      <c r="I55" s="896">
        <v>0</v>
      </c>
      <c r="J55" s="896">
        <v>0</v>
      </c>
      <c r="K55" s="896">
        <v>0</v>
      </c>
      <c r="L55" s="896">
        <v>0</v>
      </c>
      <c r="M55" s="896">
        <v>0</v>
      </c>
      <c r="N55" s="897">
        <v>4457</v>
      </c>
      <c r="O55" s="896">
        <v>185.71</v>
      </c>
      <c r="P55" s="896" t="s">
        <v>709</v>
      </c>
      <c r="T55" s="898"/>
    </row>
    <row r="56" spans="1:20" s="896" customFormat="1">
      <c r="A56" s="895" t="s">
        <v>697</v>
      </c>
      <c r="B56" s="895" t="s">
        <v>698</v>
      </c>
      <c r="C56" s="895" t="s">
        <v>501</v>
      </c>
      <c r="D56" s="895" t="s">
        <v>707</v>
      </c>
      <c r="E56" s="895" t="s">
        <v>488</v>
      </c>
      <c r="F56" s="895" t="s">
        <v>710</v>
      </c>
      <c r="G56" s="896">
        <v>0</v>
      </c>
      <c r="H56" s="897">
        <v>3556</v>
      </c>
      <c r="I56" s="896">
        <v>0</v>
      </c>
      <c r="J56" s="896">
        <v>0</v>
      </c>
      <c r="K56" s="896">
        <v>0</v>
      </c>
      <c r="L56" s="896">
        <v>0</v>
      </c>
      <c r="M56" s="896">
        <v>0</v>
      </c>
      <c r="N56" s="897">
        <v>3556</v>
      </c>
      <c r="O56" s="896">
        <v>148.16999999999999</v>
      </c>
      <c r="P56" s="896" t="s">
        <v>711</v>
      </c>
      <c r="T56" s="898"/>
    </row>
    <row r="57" spans="1:20" s="896" customFormat="1">
      <c r="A57" s="895" t="s">
        <v>697</v>
      </c>
      <c r="B57" s="895" t="s">
        <v>698</v>
      </c>
      <c r="C57" s="895" t="s">
        <v>501</v>
      </c>
      <c r="D57" s="895" t="s">
        <v>707</v>
      </c>
      <c r="E57" s="895" t="s">
        <v>505</v>
      </c>
      <c r="F57" s="895" t="s">
        <v>712</v>
      </c>
      <c r="G57" s="896">
        <v>0</v>
      </c>
      <c r="H57" s="897">
        <v>9867</v>
      </c>
      <c r="I57" s="896">
        <v>0</v>
      </c>
      <c r="J57" s="896">
        <v>0</v>
      </c>
      <c r="K57" s="896">
        <v>0</v>
      </c>
      <c r="L57" s="896">
        <v>0</v>
      </c>
      <c r="M57" s="896">
        <v>0</v>
      </c>
      <c r="N57" s="897">
        <v>9867</v>
      </c>
      <c r="O57" s="896">
        <v>411.13</v>
      </c>
      <c r="P57" s="896" t="s">
        <v>713</v>
      </c>
      <c r="T57" s="898"/>
    </row>
    <row r="58" spans="1:20" s="896" customFormat="1">
      <c r="A58" s="895" t="s">
        <v>697</v>
      </c>
      <c r="B58" s="895" t="s">
        <v>698</v>
      </c>
      <c r="C58" s="895" t="s">
        <v>507</v>
      </c>
      <c r="D58" s="895" t="s">
        <v>714</v>
      </c>
      <c r="E58" s="895" t="s">
        <v>613</v>
      </c>
      <c r="F58" s="895" t="s">
        <v>614</v>
      </c>
      <c r="G58" s="896">
        <v>0</v>
      </c>
      <c r="H58" s="897">
        <v>3160</v>
      </c>
      <c r="I58" s="896">
        <v>0</v>
      </c>
      <c r="J58" s="896">
        <v>0</v>
      </c>
      <c r="K58" s="896">
        <v>0</v>
      </c>
      <c r="L58" s="896">
        <v>0</v>
      </c>
      <c r="M58" s="896">
        <v>0</v>
      </c>
      <c r="N58" s="897">
        <v>3160</v>
      </c>
      <c r="O58" s="896">
        <v>131.66999999999999</v>
      </c>
      <c r="P58" s="896" t="s">
        <v>715</v>
      </c>
      <c r="T58" s="898"/>
    </row>
    <row r="59" spans="1:20" s="896" customFormat="1">
      <c r="A59" s="895" t="s">
        <v>697</v>
      </c>
      <c r="B59" s="895" t="s">
        <v>698</v>
      </c>
      <c r="C59" s="895" t="s">
        <v>507</v>
      </c>
      <c r="D59" s="895" t="s">
        <v>714</v>
      </c>
      <c r="E59" s="895" t="s">
        <v>488</v>
      </c>
      <c r="F59" s="895" t="s">
        <v>710</v>
      </c>
      <c r="G59" s="896">
        <v>0</v>
      </c>
      <c r="H59" s="896">
        <v>93</v>
      </c>
      <c r="I59" s="896">
        <v>0</v>
      </c>
      <c r="J59" s="896">
        <v>0</v>
      </c>
      <c r="K59" s="896">
        <v>0</v>
      </c>
      <c r="L59" s="896">
        <v>0</v>
      </c>
      <c r="M59" s="896">
        <v>0</v>
      </c>
      <c r="N59" s="896">
        <v>93</v>
      </c>
      <c r="O59" s="896">
        <v>3.88</v>
      </c>
      <c r="P59" s="896" t="s">
        <v>716</v>
      </c>
      <c r="T59" s="898"/>
    </row>
    <row r="60" spans="1:20" s="896" customFormat="1">
      <c r="A60" s="895" t="s">
        <v>697</v>
      </c>
      <c r="B60" s="895" t="s">
        <v>698</v>
      </c>
      <c r="C60" s="895" t="s">
        <v>479</v>
      </c>
      <c r="D60" s="895" t="s">
        <v>717</v>
      </c>
      <c r="E60" s="895" t="s">
        <v>613</v>
      </c>
      <c r="F60" s="895" t="s">
        <v>614</v>
      </c>
      <c r="G60" s="896">
        <v>0</v>
      </c>
      <c r="H60" s="896">
        <v>0</v>
      </c>
      <c r="I60" s="896">
        <v>0</v>
      </c>
      <c r="J60" s="896">
        <v>565</v>
      </c>
      <c r="K60" s="896">
        <v>0</v>
      </c>
      <c r="L60" s="896">
        <v>0</v>
      </c>
      <c r="M60" s="896">
        <v>0</v>
      </c>
      <c r="N60" s="896">
        <v>0</v>
      </c>
      <c r="O60" s="896">
        <v>565</v>
      </c>
      <c r="P60" s="896" t="s">
        <v>718</v>
      </c>
      <c r="T60" s="898"/>
    </row>
    <row r="61" spans="1:20" s="896" customFormat="1">
      <c r="A61" s="895" t="s">
        <v>697</v>
      </c>
      <c r="B61" s="895" t="s">
        <v>698</v>
      </c>
      <c r="C61" s="895" t="s">
        <v>479</v>
      </c>
      <c r="D61" s="895" t="s">
        <v>717</v>
      </c>
      <c r="E61" s="895" t="s">
        <v>481</v>
      </c>
      <c r="F61" s="895" t="s">
        <v>701</v>
      </c>
      <c r="G61" s="896">
        <v>0</v>
      </c>
      <c r="H61" s="896">
        <v>0</v>
      </c>
      <c r="I61" s="896">
        <v>0</v>
      </c>
      <c r="J61" s="896">
        <v>104</v>
      </c>
      <c r="K61" s="896">
        <v>0</v>
      </c>
      <c r="L61" s="896">
        <v>0</v>
      </c>
      <c r="M61" s="896">
        <v>0</v>
      </c>
      <c r="N61" s="896">
        <v>0</v>
      </c>
      <c r="O61" s="896">
        <v>104</v>
      </c>
      <c r="P61" s="896" t="s">
        <v>719</v>
      </c>
      <c r="T61" s="898"/>
    </row>
    <row r="62" spans="1:20" s="896" customFormat="1">
      <c r="A62" s="895" t="s">
        <v>697</v>
      </c>
      <c r="B62" s="895" t="s">
        <v>698</v>
      </c>
      <c r="C62" s="895" t="s">
        <v>479</v>
      </c>
      <c r="D62" s="895" t="s">
        <v>717</v>
      </c>
      <c r="E62" s="895" t="s">
        <v>483</v>
      </c>
      <c r="F62" s="895" t="s">
        <v>705</v>
      </c>
      <c r="G62" s="896">
        <v>0</v>
      </c>
      <c r="H62" s="896">
        <v>0</v>
      </c>
      <c r="I62" s="896">
        <v>0</v>
      </c>
      <c r="J62" s="896">
        <v>45</v>
      </c>
      <c r="K62" s="896">
        <v>0</v>
      </c>
      <c r="L62" s="896">
        <v>0</v>
      </c>
      <c r="M62" s="896">
        <v>0</v>
      </c>
      <c r="N62" s="896">
        <v>0</v>
      </c>
      <c r="O62" s="896">
        <v>45</v>
      </c>
      <c r="P62" s="896" t="s">
        <v>720</v>
      </c>
      <c r="T62" s="898"/>
    </row>
    <row r="63" spans="1:20" s="896" customFormat="1">
      <c r="A63" s="895" t="s">
        <v>697</v>
      </c>
      <c r="B63" s="895" t="s">
        <v>698</v>
      </c>
      <c r="C63" s="895" t="s">
        <v>496</v>
      </c>
      <c r="D63" s="895" t="s">
        <v>721</v>
      </c>
      <c r="E63" s="895" t="s">
        <v>613</v>
      </c>
      <c r="F63" s="895" t="s">
        <v>614</v>
      </c>
      <c r="G63" s="897">
        <v>35742</v>
      </c>
      <c r="H63" s="897">
        <v>9770</v>
      </c>
      <c r="I63" s="897">
        <v>1898</v>
      </c>
      <c r="J63" s="896">
        <v>0</v>
      </c>
      <c r="K63" s="896">
        <v>0</v>
      </c>
      <c r="L63" s="896">
        <v>0</v>
      </c>
      <c r="M63" s="896">
        <v>0</v>
      </c>
      <c r="N63" s="897">
        <v>47410</v>
      </c>
      <c r="O63" s="899">
        <v>1703.93</v>
      </c>
      <c r="P63" s="896" t="s">
        <v>722</v>
      </c>
      <c r="T63" s="898"/>
    </row>
    <row r="64" spans="1:20" s="896" customFormat="1">
      <c r="A64" s="895" t="s">
        <v>697</v>
      </c>
      <c r="B64" s="895" t="s">
        <v>698</v>
      </c>
      <c r="C64" s="895" t="s">
        <v>496</v>
      </c>
      <c r="D64" s="895" t="s">
        <v>721</v>
      </c>
      <c r="E64" s="895" t="s">
        <v>481</v>
      </c>
      <c r="F64" s="895" t="s">
        <v>701</v>
      </c>
      <c r="G64" s="897">
        <v>2272</v>
      </c>
      <c r="H64" s="896">
        <v>0</v>
      </c>
      <c r="I64" s="896">
        <v>0</v>
      </c>
      <c r="J64" s="896">
        <v>0</v>
      </c>
      <c r="K64" s="896">
        <v>0</v>
      </c>
      <c r="L64" s="896">
        <v>0</v>
      </c>
      <c r="M64" s="896">
        <v>0</v>
      </c>
      <c r="N64" s="897">
        <v>2272</v>
      </c>
      <c r="O64" s="896">
        <v>75.73</v>
      </c>
      <c r="P64" s="896" t="s">
        <v>677</v>
      </c>
      <c r="T64" s="898"/>
    </row>
    <row r="65" spans="1:20" s="896" customFormat="1">
      <c r="A65" s="895" t="s">
        <v>697</v>
      </c>
      <c r="B65" s="895" t="s">
        <v>698</v>
      </c>
      <c r="C65" s="895" t="s">
        <v>496</v>
      </c>
      <c r="D65" s="895" t="s">
        <v>721</v>
      </c>
      <c r="E65" s="895" t="s">
        <v>488</v>
      </c>
      <c r="F65" s="895" t="s">
        <v>710</v>
      </c>
      <c r="G65" s="897">
        <v>7814</v>
      </c>
      <c r="H65" s="896">
        <v>0</v>
      </c>
      <c r="I65" s="896">
        <v>0</v>
      </c>
      <c r="J65" s="896">
        <v>0</v>
      </c>
      <c r="K65" s="896">
        <v>0</v>
      </c>
      <c r="L65" s="896">
        <v>0</v>
      </c>
      <c r="M65" s="896">
        <v>0</v>
      </c>
      <c r="N65" s="897">
        <v>7814</v>
      </c>
      <c r="O65" s="896">
        <v>260.47000000000003</v>
      </c>
      <c r="P65" s="896" t="s">
        <v>723</v>
      </c>
      <c r="T65" s="898"/>
    </row>
    <row r="66" spans="1:20" s="896" customFormat="1">
      <c r="A66" s="895" t="s">
        <v>697</v>
      </c>
      <c r="B66" s="895" t="s">
        <v>698</v>
      </c>
      <c r="C66" s="895" t="s">
        <v>496</v>
      </c>
      <c r="D66" s="895" t="s">
        <v>721</v>
      </c>
      <c r="E66" s="895" t="s">
        <v>483</v>
      </c>
      <c r="F66" s="895" t="s">
        <v>705</v>
      </c>
      <c r="G66" s="897">
        <v>2221</v>
      </c>
      <c r="H66" s="896">
        <v>0</v>
      </c>
      <c r="I66" s="896">
        <v>0</v>
      </c>
      <c r="J66" s="896">
        <v>0</v>
      </c>
      <c r="K66" s="896">
        <v>0</v>
      </c>
      <c r="L66" s="896">
        <v>0</v>
      </c>
      <c r="M66" s="896">
        <v>0</v>
      </c>
      <c r="N66" s="897">
        <v>2221</v>
      </c>
      <c r="O66" s="896">
        <v>74.03</v>
      </c>
      <c r="P66" s="896" t="s">
        <v>724</v>
      </c>
      <c r="T66" s="898"/>
    </row>
    <row r="67" spans="1:20" s="896" customFormat="1">
      <c r="A67" s="895" t="s">
        <v>697</v>
      </c>
      <c r="B67" s="895" t="s">
        <v>698</v>
      </c>
      <c r="C67" s="895" t="s">
        <v>485</v>
      </c>
      <c r="D67" s="895" t="s">
        <v>725</v>
      </c>
      <c r="E67" s="895" t="s">
        <v>613</v>
      </c>
      <c r="F67" s="895" t="s">
        <v>614</v>
      </c>
      <c r="G67" s="896">
        <v>0</v>
      </c>
      <c r="H67" s="897">
        <v>1041</v>
      </c>
      <c r="I67" s="897">
        <v>1242</v>
      </c>
      <c r="J67" s="896">
        <v>0</v>
      </c>
      <c r="K67" s="896">
        <v>0</v>
      </c>
      <c r="L67" s="896">
        <v>0</v>
      </c>
      <c r="M67" s="896">
        <v>0</v>
      </c>
      <c r="N67" s="897">
        <v>2283</v>
      </c>
      <c r="O67" s="896">
        <v>112.38</v>
      </c>
      <c r="P67" s="896" t="s">
        <v>726</v>
      </c>
      <c r="T67" s="898"/>
    </row>
    <row r="68" spans="1:20" s="896" customFormat="1">
      <c r="A68" s="895" t="s">
        <v>697</v>
      </c>
      <c r="B68" s="895" t="s">
        <v>698</v>
      </c>
      <c r="C68" s="895" t="s">
        <v>485</v>
      </c>
      <c r="D68" s="895" t="s">
        <v>725</v>
      </c>
      <c r="E68" s="895" t="s">
        <v>481</v>
      </c>
      <c r="F68" s="895" t="s">
        <v>701</v>
      </c>
      <c r="G68" s="896">
        <v>0</v>
      </c>
      <c r="H68" s="896">
        <v>44</v>
      </c>
      <c r="I68" s="896">
        <v>513</v>
      </c>
      <c r="J68" s="896">
        <v>0</v>
      </c>
      <c r="K68" s="896">
        <v>0</v>
      </c>
      <c r="L68" s="896">
        <v>0</v>
      </c>
      <c r="M68" s="896">
        <v>0</v>
      </c>
      <c r="N68" s="896">
        <v>557</v>
      </c>
      <c r="O68" s="896">
        <v>30.33</v>
      </c>
      <c r="P68" s="896" t="s">
        <v>727</v>
      </c>
      <c r="T68" s="898"/>
    </row>
    <row r="69" spans="1:20" s="896" customFormat="1">
      <c r="A69" s="895" t="s">
        <v>697</v>
      </c>
      <c r="B69" s="895" t="s">
        <v>698</v>
      </c>
      <c r="C69" s="895" t="s">
        <v>485</v>
      </c>
      <c r="D69" s="895" t="s">
        <v>725</v>
      </c>
      <c r="E69" s="895" t="s">
        <v>488</v>
      </c>
      <c r="F69" s="895" t="s">
        <v>710</v>
      </c>
      <c r="G69" s="896">
        <v>0</v>
      </c>
      <c r="H69" s="896">
        <v>136</v>
      </c>
      <c r="I69" s="896">
        <v>418</v>
      </c>
      <c r="J69" s="896">
        <v>0</v>
      </c>
      <c r="K69" s="896">
        <v>0</v>
      </c>
      <c r="L69" s="896">
        <v>0</v>
      </c>
      <c r="M69" s="896">
        <v>0</v>
      </c>
      <c r="N69" s="896">
        <v>554</v>
      </c>
      <c r="O69" s="896">
        <v>28.89</v>
      </c>
      <c r="P69" s="896" t="s">
        <v>728</v>
      </c>
      <c r="Q69" s="899">
        <f>SUM(O50:O69)</f>
        <v>6003.9800000000005</v>
      </c>
      <c r="R69" s="896">
        <v>6091.2399999999989</v>
      </c>
      <c r="S69" s="896">
        <f t="shared" si="0"/>
        <v>-87.259999999998399</v>
      </c>
      <c r="T69" s="898">
        <f>S69/R69</f>
        <v>-1.4325490376343473E-2</v>
      </c>
    </row>
    <row r="70" spans="1:20" s="892" customFormat="1">
      <c r="A70" s="891" t="s">
        <v>729</v>
      </c>
      <c r="B70" s="891" t="s">
        <v>730</v>
      </c>
      <c r="C70" s="891" t="s">
        <v>514</v>
      </c>
      <c r="D70" s="891" t="s">
        <v>731</v>
      </c>
      <c r="E70" s="891" t="s">
        <v>613</v>
      </c>
      <c r="F70" s="891" t="s">
        <v>614</v>
      </c>
      <c r="G70" s="892">
        <v>0</v>
      </c>
      <c r="H70" s="892">
        <v>0</v>
      </c>
      <c r="I70" s="892">
        <v>0</v>
      </c>
      <c r="J70" s="892">
        <v>449</v>
      </c>
      <c r="K70" s="892">
        <v>0</v>
      </c>
      <c r="L70" s="892">
        <v>0</v>
      </c>
      <c r="M70" s="892">
        <v>0</v>
      </c>
      <c r="N70" s="892">
        <v>0</v>
      </c>
      <c r="O70" s="892">
        <v>449</v>
      </c>
      <c r="P70" s="892" t="s">
        <v>732</v>
      </c>
      <c r="T70" s="894"/>
    </row>
    <row r="71" spans="1:20" s="892" customFormat="1">
      <c r="A71" s="891" t="s">
        <v>729</v>
      </c>
      <c r="B71" s="891" t="s">
        <v>730</v>
      </c>
      <c r="C71" s="891" t="s">
        <v>518</v>
      </c>
      <c r="D71" s="891" t="s">
        <v>733</v>
      </c>
      <c r="E71" s="891" t="s">
        <v>613</v>
      </c>
      <c r="F71" s="891" t="s">
        <v>614</v>
      </c>
      <c r="G71" s="893">
        <v>9657</v>
      </c>
      <c r="H71" s="892">
        <v>42</v>
      </c>
      <c r="I71" s="892">
        <v>0</v>
      </c>
      <c r="J71" s="892">
        <v>0</v>
      </c>
      <c r="K71" s="892">
        <v>0</v>
      </c>
      <c r="L71" s="892">
        <v>0</v>
      </c>
      <c r="M71" s="892">
        <v>0</v>
      </c>
      <c r="N71" s="893">
        <v>9699</v>
      </c>
      <c r="O71" s="892">
        <v>323.64999999999998</v>
      </c>
      <c r="P71" s="892" t="s">
        <v>734</v>
      </c>
      <c r="T71" s="894"/>
    </row>
    <row r="72" spans="1:20" s="892" customFormat="1">
      <c r="A72" s="891" t="s">
        <v>729</v>
      </c>
      <c r="B72" s="891" t="s">
        <v>730</v>
      </c>
      <c r="C72" s="891" t="s">
        <v>519</v>
      </c>
      <c r="D72" s="891" t="s">
        <v>735</v>
      </c>
      <c r="E72" s="891" t="s">
        <v>613</v>
      </c>
      <c r="F72" s="891" t="s">
        <v>614</v>
      </c>
      <c r="G72" s="892">
        <v>0</v>
      </c>
      <c r="H72" s="892">
        <v>0</v>
      </c>
      <c r="I72" s="892">
        <v>0</v>
      </c>
      <c r="J72" s="892">
        <v>101</v>
      </c>
      <c r="K72" s="892">
        <v>0</v>
      </c>
      <c r="L72" s="892">
        <v>0</v>
      </c>
      <c r="M72" s="892">
        <v>0</v>
      </c>
      <c r="N72" s="892">
        <v>0</v>
      </c>
      <c r="O72" s="892">
        <v>101</v>
      </c>
      <c r="P72" s="892" t="s">
        <v>736</v>
      </c>
      <c r="T72" s="894"/>
    </row>
    <row r="73" spans="1:20" s="892" customFormat="1">
      <c r="A73" s="891" t="s">
        <v>729</v>
      </c>
      <c r="B73" s="891" t="s">
        <v>730</v>
      </c>
      <c r="C73" s="891" t="s">
        <v>516</v>
      </c>
      <c r="D73" s="891" t="s">
        <v>737</v>
      </c>
      <c r="E73" s="891" t="s">
        <v>613</v>
      </c>
      <c r="F73" s="891" t="s">
        <v>614</v>
      </c>
      <c r="G73" s="892">
        <v>0</v>
      </c>
      <c r="H73" s="892">
        <v>819</v>
      </c>
      <c r="I73" s="892">
        <v>0</v>
      </c>
      <c r="J73" s="892">
        <v>0</v>
      </c>
      <c r="K73" s="892">
        <v>0</v>
      </c>
      <c r="L73" s="892">
        <v>0</v>
      </c>
      <c r="M73" s="892">
        <v>0</v>
      </c>
      <c r="N73" s="892">
        <v>819</v>
      </c>
      <c r="O73" s="892">
        <v>34.130000000000003</v>
      </c>
      <c r="P73" s="892" t="s">
        <v>738</v>
      </c>
      <c r="Q73" s="892">
        <f>SUM(O70:O73)</f>
        <v>907.78</v>
      </c>
      <c r="R73" s="892">
        <v>933</v>
      </c>
      <c r="S73" s="892">
        <f t="shared" si="0"/>
        <v>-25.220000000000027</v>
      </c>
      <c r="T73" s="894">
        <f>S73/R73</f>
        <v>-2.703108252947484E-2</v>
      </c>
    </row>
    <row r="74" spans="1:20" s="896" customFormat="1">
      <c r="A74" s="895" t="s">
        <v>739</v>
      </c>
      <c r="B74" s="895" t="s">
        <v>740</v>
      </c>
      <c r="C74" s="895" t="s">
        <v>360</v>
      </c>
      <c r="D74" s="895" t="s">
        <v>741</v>
      </c>
      <c r="E74" s="895" t="s">
        <v>613</v>
      </c>
      <c r="F74" s="895" t="s">
        <v>614</v>
      </c>
      <c r="G74" s="897">
        <v>19542</v>
      </c>
      <c r="H74" s="897">
        <v>6505</v>
      </c>
      <c r="I74" s="897">
        <v>8076</v>
      </c>
      <c r="J74" s="896">
        <v>0</v>
      </c>
      <c r="K74" s="896">
        <v>0</v>
      </c>
      <c r="L74" s="896">
        <v>0</v>
      </c>
      <c r="M74" s="896">
        <v>0</v>
      </c>
      <c r="N74" s="897">
        <v>34123</v>
      </c>
      <c r="O74" s="899">
        <v>1371.11</v>
      </c>
      <c r="P74" s="896" t="s">
        <v>742</v>
      </c>
      <c r="T74" s="898"/>
    </row>
    <row r="75" spans="1:20" s="896" customFormat="1">
      <c r="A75" s="895" t="s">
        <v>739</v>
      </c>
      <c r="B75" s="895" t="s">
        <v>740</v>
      </c>
      <c r="C75" s="895" t="s">
        <v>356</v>
      </c>
      <c r="D75" s="895" t="s">
        <v>743</v>
      </c>
      <c r="E75" s="895" t="s">
        <v>613</v>
      </c>
      <c r="F75" s="895" t="s">
        <v>614</v>
      </c>
      <c r="G75" s="896">
        <v>0</v>
      </c>
      <c r="H75" s="897">
        <v>3712</v>
      </c>
      <c r="I75" s="896">
        <v>987</v>
      </c>
      <c r="J75" s="896">
        <v>0</v>
      </c>
      <c r="K75" s="896">
        <v>0</v>
      </c>
      <c r="L75" s="896">
        <v>0</v>
      </c>
      <c r="M75" s="896">
        <v>25</v>
      </c>
      <c r="N75" s="897">
        <v>4674</v>
      </c>
      <c r="O75" s="896">
        <v>208.11</v>
      </c>
      <c r="P75" s="896" t="s">
        <v>744</v>
      </c>
      <c r="T75" s="898"/>
    </row>
    <row r="76" spans="1:20" s="896" customFormat="1">
      <c r="A76" s="895" t="s">
        <v>739</v>
      </c>
      <c r="B76" s="895" t="s">
        <v>740</v>
      </c>
      <c r="C76" s="895" t="s">
        <v>352</v>
      </c>
      <c r="D76" s="895" t="s">
        <v>745</v>
      </c>
      <c r="E76" s="895" t="s">
        <v>613</v>
      </c>
      <c r="F76" s="895" t="s">
        <v>614</v>
      </c>
      <c r="G76" s="897">
        <v>1829</v>
      </c>
      <c r="H76" s="896">
        <v>132</v>
      </c>
      <c r="I76" s="896">
        <v>0</v>
      </c>
      <c r="J76" s="896">
        <v>0</v>
      </c>
      <c r="K76" s="896">
        <v>0</v>
      </c>
      <c r="L76" s="896">
        <v>0</v>
      </c>
      <c r="M76" s="896">
        <v>0</v>
      </c>
      <c r="N76" s="897">
        <v>1961</v>
      </c>
      <c r="O76" s="896">
        <v>66.47</v>
      </c>
      <c r="P76" s="896" t="s">
        <v>746</v>
      </c>
      <c r="T76" s="898"/>
    </row>
    <row r="77" spans="1:20" s="896" customFormat="1">
      <c r="A77" s="895" t="s">
        <v>739</v>
      </c>
      <c r="B77" s="895" t="s">
        <v>740</v>
      </c>
      <c r="C77" s="902" t="s">
        <v>747</v>
      </c>
      <c r="D77" s="902" t="s">
        <v>748</v>
      </c>
      <c r="E77" s="895" t="s">
        <v>613</v>
      </c>
      <c r="F77" s="895" t="s">
        <v>614</v>
      </c>
      <c r="G77" s="896">
        <v>0</v>
      </c>
      <c r="H77" s="896">
        <v>0</v>
      </c>
      <c r="I77" s="896">
        <v>0</v>
      </c>
      <c r="J77" s="896">
        <v>0</v>
      </c>
      <c r="K77" s="903">
        <v>0</v>
      </c>
      <c r="L77" s="896">
        <v>0</v>
      </c>
      <c r="M77" s="896">
        <v>0</v>
      </c>
      <c r="N77" s="896">
        <v>0</v>
      </c>
      <c r="O77" s="896">
        <v>95</v>
      </c>
      <c r="P77" s="896" t="s">
        <v>749</v>
      </c>
      <c r="T77" s="898"/>
    </row>
    <row r="78" spans="1:20" s="896" customFormat="1">
      <c r="A78" s="895" t="s">
        <v>739</v>
      </c>
      <c r="B78" s="895" t="s">
        <v>740</v>
      </c>
      <c r="C78" s="902" t="s">
        <v>344</v>
      </c>
      <c r="D78" s="902" t="s">
        <v>750</v>
      </c>
      <c r="E78" s="895" t="s">
        <v>613</v>
      </c>
      <c r="F78" s="895" t="s">
        <v>614</v>
      </c>
      <c r="G78" s="896">
        <v>0</v>
      </c>
      <c r="H78" s="896">
        <v>0</v>
      </c>
      <c r="I78" s="896">
        <v>0</v>
      </c>
      <c r="J78" s="896">
        <v>419</v>
      </c>
      <c r="K78" s="905">
        <v>95</v>
      </c>
      <c r="L78" s="896">
        <v>0</v>
      </c>
      <c r="M78" s="896">
        <v>0</v>
      </c>
      <c r="N78" s="896">
        <v>0</v>
      </c>
      <c r="O78" s="896">
        <v>419</v>
      </c>
      <c r="P78" s="896" t="s">
        <v>749</v>
      </c>
      <c r="T78" s="898"/>
    </row>
    <row r="79" spans="1:20" s="896" customFormat="1">
      <c r="A79" s="895" t="s">
        <v>739</v>
      </c>
      <c r="B79" s="895" t="s">
        <v>740</v>
      </c>
      <c r="C79" s="895" t="s">
        <v>346</v>
      </c>
      <c r="D79" s="895" t="s">
        <v>751</v>
      </c>
      <c r="E79" s="895" t="s">
        <v>613</v>
      </c>
      <c r="F79" s="895" t="s">
        <v>614</v>
      </c>
      <c r="G79" s="896">
        <v>0</v>
      </c>
      <c r="H79" s="897">
        <v>1751</v>
      </c>
      <c r="I79" s="897">
        <v>8232</v>
      </c>
      <c r="J79" s="896">
        <v>0</v>
      </c>
      <c r="K79" s="896">
        <v>0</v>
      </c>
      <c r="L79" s="896">
        <v>0</v>
      </c>
      <c r="M79" s="896">
        <v>286</v>
      </c>
      <c r="N79" s="897">
        <v>9697</v>
      </c>
      <c r="O79" s="896">
        <v>514.4</v>
      </c>
      <c r="P79" s="896" t="s">
        <v>645</v>
      </c>
      <c r="T79" s="898"/>
    </row>
    <row r="80" spans="1:20" s="896" customFormat="1">
      <c r="A80" s="895" t="s">
        <v>739</v>
      </c>
      <c r="B80" s="895" t="s">
        <v>740</v>
      </c>
      <c r="C80" s="895" t="s">
        <v>365</v>
      </c>
      <c r="D80" s="895" t="s">
        <v>752</v>
      </c>
      <c r="E80" s="895" t="s">
        <v>613</v>
      </c>
      <c r="F80" s="895" t="s">
        <v>614</v>
      </c>
      <c r="G80" s="896">
        <v>0</v>
      </c>
      <c r="H80" s="897">
        <v>11257</v>
      </c>
      <c r="I80" s="897">
        <v>6677</v>
      </c>
      <c r="J80" s="896">
        <v>0</v>
      </c>
      <c r="K80" s="896">
        <v>0</v>
      </c>
      <c r="L80" s="896">
        <v>0</v>
      </c>
      <c r="M80" s="896">
        <v>3</v>
      </c>
      <c r="N80" s="897">
        <v>17931</v>
      </c>
      <c r="O80" s="896">
        <v>839.82</v>
      </c>
      <c r="P80" s="896" t="s">
        <v>753</v>
      </c>
      <c r="T80" s="898"/>
    </row>
    <row r="81" spans="1:20" s="896" customFormat="1">
      <c r="A81" s="895" t="s">
        <v>739</v>
      </c>
      <c r="B81" s="895" t="s">
        <v>740</v>
      </c>
      <c r="C81" s="895" t="s">
        <v>365</v>
      </c>
      <c r="D81" s="895" t="s">
        <v>752</v>
      </c>
      <c r="E81" s="895" t="s">
        <v>367</v>
      </c>
      <c r="F81" s="895" t="s">
        <v>754</v>
      </c>
      <c r="G81" s="896">
        <v>0</v>
      </c>
      <c r="H81" s="897">
        <v>3921</v>
      </c>
      <c r="I81" s="896">
        <v>648</v>
      </c>
      <c r="J81" s="896">
        <v>0</v>
      </c>
      <c r="K81" s="896">
        <v>0</v>
      </c>
      <c r="L81" s="896">
        <v>0</v>
      </c>
      <c r="M81" s="896">
        <v>0</v>
      </c>
      <c r="N81" s="897">
        <v>4569</v>
      </c>
      <c r="O81" s="896">
        <v>199.38</v>
      </c>
      <c r="P81" s="896" t="s">
        <v>755</v>
      </c>
      <c r="T81" s="898"/>
    </row>
    <row r="82" spans="1:20" s="896" customFormat="1">
      <c r="A82" s="895" t="s">
        <v>739</v>
      </c>
      <c r="B82" s="895" t="s">
        <v>740</v>
      </c>
      <c r="C82" s="895" t="s">
        <v>365</v>
      </c>
      <c r="D82" s="895" t="s">
        <v>752</v>
      </c>
      <c r="E82" s="895" t="s">
        <v>358</v>
      </c>
      <c r="F82" s="895" t="s">
        <v>756</v>
      </c>
      <c r="G82" s="896">
        <v>0</v>
      </c>
      <c r="H82" s="896">
        <v>383</v>
      </c>
      <c r="I82" s="896">
        <v>249</v>
      </c>
      <c r="J82" s="896">
        <v>0</v>
      </c>
      <c r="K82" s="896">
        <v>0</v>
      </c>
      <c r="L82" s="896">
        <v>0</v>
      </c>
      <c r="M82" s="896">
        <v>0</v>
      </c>
      <c r="N82" s="896">
        <v>632</v>
      </c>
      <c r="O82" s="896">
        <v>29.79</v>
      </c>
      <c r="P82" s="896" t="s">
        <v>757</v>
      </c>
      <c r="T82" s="898"/>
    </row>
    <row r="83" spans="1:20" s="896" customFormat="1">
      <c r="A83" s="895" t="s">
        <v>739</v>
      </c>
      <c r="B83" s="895" t="s">
        <v>740</v>
      </c>
      <c r="C83" s="895" t="s">
        <v>365</v>
      </c>
      <c r="D83" s="895" t="s">
        <v>752</v>
      </c>
      <c r="E83" s="895" t="s">
        <v>371</v>
      </c>
      <c r="F83" s="895" t="s">
        <v>758</v>
      </c>
      <c r="G83" s="896">
        <v>0</v>
      </c>
      <c r="H83" s="897">
        <v>1958</v>
      </c>
      <c r="I83" s="896">
        <v>357</v>
      </c>
      <c r="J83" s="896">
        <v>0</v>
      </c>
      <c r="K83" s="896">
        <v>0</v>
      </c>
      <c r="L83" s="896">
        <v>0</v>
      </c>
      <c r="M83" s="896">
        <v>0</v>
      </c>
      <c r="N83" s="897">
        <v>2315</v>
      </c>
      <c r="O83" s="896">
        <v>101.42</v>
      </c>
      <c r="P83" s="896" t="s">
        <v>759</v>
      </c>
      <c r="T83" s="898"/>
    </row>
    <row r="84" spans="1:20" s="896" customFormat="1">
      <c r="A84" s="895" t="s">
        <v>739</v>
      </c>
      <c r="B84" s="895" t="s">
        <v>740</v>
      </c>
      <c r="C84" s="895" t="s">
        <v>365</v>
      </c>
      <c r="D84" s="895" t="s">
        <v>752</v>
      </c>
      <c r="E84" s="895" t="s">
        <v>362</v>
      </c>
      <c r="F84" s="895" t="s">
        <v>760</v>
      </c>
      <c r="G84" s="896">
        <v>0</v>
      </c>
      <c r="H84" s="896">
        <v>578</v>
      </c>
      <c r="I84" s="896">
        <v>150</v>
      </c>
      <c r="J84" s="896">
        <v>0</v>
      </c>
      <c r="K84" s="896">
        <v>0</v>
      </c>
      <c r="L84" s="896">
        <v>0</v>
      </c>
      <c r="M84" s="896">
        <v>0</v>
      </c>
      <c r="N84" s="896">
        <v>728</v>
      </c>
      <c r="O84" s="896">
        <v>32.42</v>
      </c>
      <c r="P84" s="896" t="s">
        <v>761</v>
      </c>
      <c r="T84" s="898"/>
    </row>
    <row r="85" spans="1:20" s="896" customFormat="1">
      <c r="A85" s="895" t="s">
        <v>739</v>
      </c>
      <c r="B85" s="895" t="s">
        <v>740</v>
      </c>
      <c r="C85" s="895" t="s">
        <v>365</v>
      </c>
      <c r="D85" s="895" t="s">
        <v>752</v>
      </c>
      <c r="E85" s="895" t="s">
        <v>374</v>
      </c>
      <c r="F85" s="895" t="s">
        <v>762</v>
      </c>
      <c r="G85" s="896">
        <v>0</v>
      </c>
      <c r="H85" s="897">
        <v>1885</v>
      </c>
      <c r="I85" s="896">
        <v>243</v>
      </c>
      <c r="J85" s="896">
        <v>0</v>
      </c>
      <c r="K85" s="896">
        <v>0</v>
      </c>
      <c r="L85" s="896">
        <v>0</v>
      </c>
      <c r="M85" s="896">
        <v>0</v>
      </c>
      <c r="N85" s="897">
        <v>2128</v>
      </c>
      <c r="O85" s="896">
        <v>92.04</v>
      </c>
      <c r="P85" s="896" t="s">
        <v>763</v>
      </c>
      <c r="T85" s="898"/>
    </row>
    <row r="86" spans="1:20" s="896" customFormat="1">
      <c r="A86" s="895" t="s">
        <v>739</v>
      </c>
      <c r="B86" s="895" t="s">
        <v>740</v>
      </c>
      <c r="C86" s="895" t="s">
        <v>341</v>
      </c>
      <c r="D86" s="895" t="s">
        <v>764</v>
      </c>
      <c r="E86" s="895" t="s">
        <v>613</v>
      </c>
      <c r="F86" s="895" t="s">
        <v>614</v>
      </c>
      <c r="G86" s="896">
        <v>0</v>
      </c>
      <c r="H86" s="896">
        <v>0</v>
      </c>
      <c r="I86" s="896">
        <v>0</v>
      </c>
      <c r="J86" s="896">
        <v>972</v>
      </c>
      <c r="K86" s="896">
        <v>0</v>
      </c>
      <c r="L86" s="896">
        <v>0</v>
      </c>
      <c r="M86" s="896">
        <v>0</v>
      </c>
      <c r="N86" s="896">
        <v>0</v>
      </c>
      <c r="O86" s="896">
        <v>972</v>
      </c>
      <c r="P86" s="896" t="s">
        <v>648</v>
      </c>
      <c r="T86" s="898"/>
    </row>
    <row r="87" spans="1:20" s="896" customFormat="1">
      <c r="A87" s="895" t="s">
        <v>739</v>
      </c>
      <c r="B87" s="895" t="s">
        <v>740</v>
      </c>
      <c r="C87" s="895" t="s">
        <v>347</v>
      </c>
      <c r="D87" s="895" t="s">
        <v>765</v>
      </c>
      <c r="E87" s="895" t="s">
        <v>613</v>
      </c>
      <c r="F87" s="895" t="s">
        <v>614</v>
      </c>
      <c r="G87" s="896">
        <v>0</v>
      </c>
      <c r="H87" s="896">
        <v>908</v>
      </c>
      <c r="I87" s="896">
        <v>0</v>
      </c>
      <c r="J87" s="896">
        <v>0</v>
      </c>
      <c r="K87" s="896">
        <v>0</v>
      </c>
      <c r="L87" s="896">
        <v>0</v>
      </c>
      <c r="M87" s="896">
        <v>0</v>
      </c>
      <c r="N87" s="896">
        <v>908</v>
      </c>
      <c r="O87" s="896">
        <v>37.83</v>
      </c>
      <c r="P87" s="896" t="s">
        <v>645</v>
      </c>
      <c r="Q87" s="899">
        <f>SUM(O74:O87)</f>
        <v>4978.79</v>
      </c>
      <c r="R87" s="896">
        <v>5107.6400000000003</v>
      </c>
      <c r="S87" s="896">
        <f t="shared" ref="S87:S99" si="1">Q87-R87</f>
        <v>-128.85000000000036</v>
      </c>
      <c r="T87" s="898">
        <f>S87/R87</f>
        <v>-2.5226914974430532E-2</v>
      </c>
    </row>
    <row r="88" spans="1:20" s="892" customFormat="1">
      <c r="A88" s="891" t="s">
        <v>407</v>
      </c>
      <c r="B88" s="891" t="s">
        <v>766</v>
      </c>
      <c r="C88" s="891" t="s">
        <v>407</v>
      </c>
      <c r="D88" s="891" t="s">
        <v>767</v>
      </c>
      <c r="E88" s="891" t="s">
        <v>613</v>
      </c>
      <c r="F88" s="891" t="s">
        <v>614</v>
      </c>
      <c r="G88" s="893">
        <v>10797</v>
      </c>
      <c r="H88" s="892">
        <v>718</v>
      </c>
      <c r="I88" s="892">
        <v>0</v>
      </c>
      <c r="J88" s="892">
        <v>0</v>
      </c>
      <c r="K88" s="892">
        <v>0</v>
      </c>
      <c r="L88" s="892">
        <v>0</v>
      </c>
      <c r="M88" s="892">
        <v>0</v>
      </c>
      <c r="N88" s="893">
        <v>11515</v>
      </c>
      <c r="O88" s="892">
        <v>389.82</v>
      </c>
      <c r="P88" s="892" t="s">
        <v>768</v>
      </c>
      <c r="Q88" s="892">
        <f>O88</f>
        <v>389.82</v>
      </c>
      <c r="R88" s="892">
        <v>387.8</v>
      </c>
      <c r="S88" s="892">
        <f t="shared" si="1"/>
        <v>2.0199999999999818</v>
      </c>
      <c r="T88" s="894">
        <f t="shared" ref="T88" si="2">S88/R88</f>
        <v>5.2088705518307937E-3</v>
      </c>
    </row>
    <row r="89" spans="1:20" s="896" customFormat="1">
      <c r="A89" s="895" t="s">
        <v>769</v>
      </c>
      <c r="B89" s="895" t="s">
        <v>770</v>
      </c>
      <c r="C89" s="895" t="s">
        <v>411</v>
      </c>
      <c r="D89" s="895" t="s">
        <v>771</v>
      </c>
      <c r="E89" s="895" t="s">
        <v>613</v>
      </c>
      <c r="F89" s="895" t="s">
        <v>614</v>
      </c>
      <c r="G89" s="896">
        <v>0</v>
      </c>
      <c r="H89" s="896">
        <v>439</v>
      </c>
      <c r="I89" s="896">
        <v>0</v>
      </c>
      <c r="J89" s="896">
        <v>0</v>
      </c>
      <c r="K89" s="896">
        <v>0</v>
      </c>
      <c r="L89" s="896">
        <v>0</v>
      </c>
      <c r="M89" s="896">
        <v>0</v>
      </c>
      <c r="N89" s="896">
        <v>439</v>
      </c>
      <c r="O89" s="896">
        <v>18.29</v>
      </c>
      <c r="P89" s="896" t="s">
        <v>772</v>
      </c>
      <c r="T89" s="898"/>
    </row>
    <row r="90" spans="1:20" s="896" customFormat="1">
      <c r="A90" s="895" t="s">
        <v>769</v>
      </c>
      <c r="B90" s="895" t="s">
        <v>770</v>
      </c>
      <c r="C90" s="895" t="s">
        <v>413</v>
      </c>
      <c r="D90" s="895" t="s">
        <v>773</v>
      </c>
      <c r="E90" s="895" t="s">
        <v>613</v>
      </c>
      <c r="F90" s="895" t="s">
        <v>614</v>
      </c>
      <c r="G90" s="896">
        <v>0</v>
      </c>
      <c r="H90" s="897">
        <v>1435</v>
      </c>
      <c r="I90" s="896">
        <v>0</v>
      </c>
      <c r="J90" s="896">
        <v>0</v>
      </c>
      <c r="K90" s="896">
        <v>0</v>
      </c>
      <c r="L90" s="896">
        <v>0</v>
      </c>
      <c r="M90" s="896">
        <v>0</v>
      </c>
      <c r="N90" s="897">
        <v>1435</v>
      </c>
      <c r="O90" s="896">
        <v>59.79</v>
      </c>
      <c r="P90" s="896" t="s">
        <v>774</v>
      </c>
      <c r="Q90" s="896">
        <f>SUM(O89:O90)</f>
        <v>78.08</v>
      </c>
      <c r="R90" s="896">
        <v>76.67</v>
      </c>
      <c r="S90" s="896">
        <f t="shared" si="1"/>
        <v>1.4099999999999966</v>
      </c>
      <c r="T90" s="898">
        <f>S90/R90</f>
        <v>1.8390504760662535E-2</v>
      </c>
    </row>
    <row r="91" spans="1:20" s="892" customFormat="1">
      <c r="A91" s="891" t="s">
        <v>561</v>
      </c>
      <c r="B91" s="891" t="s">
        <v>775</v>
      </c>
      <c r="C91" s="891" t="s">
        <v>561</v>
      </c>
      <c r="D91" s="891" t="s">
        <v>776</v>
      </c>
      <c r="E91" s="891" t="s">
        <v>613</v>
      </c>
      <c r="F91" s="891" t="s">
        <v>614</v>
      </c>
      <c r="G91" s="892">
        <v>0</v>
      </c>
      <c r="H91" s="892">
        <v>0</v>
      </c>
      <c r="I91" s="892">
        <v>0</v>
      </c>
      <c r="J91" s="892">
        <v>330</v>
      </c>
      <c r="K91" s="892">
        <v>0</v>
      </c>
      <c r="L91" s="892">
        <v>0</v>
      </c>
      <c r="M91" s="892">
        <v>0</v>
      </c>
      <c r="N91" s="892">
        <v>0</v>
      </c>
      <c r="O91" s="892">
        <v>330</v>
      </c>
      <c r="P91" s="892" t="s">
        <v>732</v>
      </c>
      <c r="Q91" s="892">
        <v>330</v>
      </c>
      <c r="R91" s="892">
        <v>330</v>
      </c>
      <c r="S91" s="892">
        <f t="shared" si="1"/>
        <v>0</v>
      </c>
      <c r="T91" s="894">
        <f t="shared" ref="T91:T100" si="3">S91/R91</f>
        <v>0</v>
      </c>
    </row>
    <row r="92" spans="1:20" s="896" customFormat="1">
      <c r="A92" s="895" t="s">
        <v>777</v>
      </c>
      <c r="B92" s="895" t="s">
        <v>778</v>
      </c>
      <c r="C92" s="895" t="s">
        <v>329</v>
      </c>
      <c r="D92" s="895" t="s">
        <v>779</v>
      </c>
      <c r="E92" s="895" t="s">
        <v>613</v>
      </c>
      <c r="F92" s="895" t="s">
        <v>614</v>
      </c>
      <c r="G92" s="896">
        <v>0</v>
      </c>
      <c r="H92" s="897">
        <v>1122</v>
      </c>
      <c r="I92" s="897">
        <v>3900</v>
      </c>
      <c r="J92" s="896">
        <v>0</v>
      </c>
      <c r="K92" s="896">
        <v>0</v>
      </c>
      <c r="L92" s="896">
        <v>0</v>
      </c>
      <c r="M92" s="896">
        <v>17</v>
      </c>
      <c r="N92" s="897">
        <v>5005</v>
      </c>
      <c r="O92" s="896">
        <v>262.47000000000003</v>
      </c>
      <c r="P92" s="896" t="s">
        <v>780</v>
      </c>
      <c r="T92" s="898"/>
    </row>
    <row r="93" spans="1:20" s="896" customFormat="1">
      <c r="A93" s="895" t="s">
        <v>777</v>
      </c>
      <c r="B93" s="895" t="s">
        <v>778</v>
      </c>
      <c r="C93" s="895" t="s">
        <v>333</v>
      </c>
      <c r="D93" s="895" t="s">
        <v>781</v>
      </c>
      <c r="E93" s="895" t="s">
        <v>613</v>
      </c>
      <c r="F93" s="895" t="s">
        <v>614</v>
      </c>
      <c r="G93" s="897">
        <v>20140</v>
      </c>
      <c r="H93" s="897">
        <v>7494</v>
      </c>
      <c r="I93" s="897">
        <v>1823</v>
      </c>
      <c r="J93" s="896">
        <v>0</v>
      </c>
      <c r="K93" s="896">
        <v>0</v>
      </c>
      <c r="L93" s="896">
        <v>0</v>
      </c>
      <c r="M93" s="896">
        <v>0</v>
      </c>
      <c r="N93" s="897">
        <v>29457</v>
      </c>
      <c r="O93" s="899">
        <v>1084.8599999999999</v>
      </c>
      <c r="P93" s="896" t="s">
        <v>782</v>
      </c>
      <c r="T93" s="898"/>
    </row>
    <row r="94" spans="1:20" s="896" customFormat="1">
      <c r="A94" s="895" t="s">
        <v>777</v>
      </c>
      <c r="B94" s="895" t="s">
        <v>778</v>
      </c>
      <c r="C94" s="895" t="s">
        <v>330</v>
      </c>
      <c r="D94" s="895" t="s">
        <v>783</v>
      </c>
      <c r="E94" s="895" t="s">
        <v>613</v>
      </c>
      <c r="F94" s="895" t="s">
        <v>614</v>
      </c>
      <c r="G94" s="897">
        <v>2068</v>
      </c>
      <c r="H94" s="897">
        <v>22179</v>
      </c>
      <c r="I94" s="897">
        <v>7001</v>
      </c>
      <c r="J94" s="896">
        <v>0</v>
      </c>
      <c r="K94" s="896">
        <v>0</v>
      </c>
      <c r="L94" s="896">
        <v>0</v>
      </c>
      <c r="M94" s="896">
        <v>25</v>
      </c>
      <c r="N94" s="897">
        <v>31223</v>
      </c>
      <c r="O94" s="899">
        <v>1380.61</v>
      </c>
      <c r="P94" s="896" t="s">
        <v>784</v>
      </c>
      <c r="T94" s="898"/>
    </row>
    <row r="95" spans="1:20" s="896" customFormat="1">
      <c r="A95" s="895" t="s">
        <v>777</v>
      </c>
      <c r="B95" s="895" t="s">
        <v>778</v>
      </c>
      <c r="C95" s="895" t="s">
        <v>337</v>
      </c>
      <c r="D95" s="895" t="s">
        <v>785</v>
      </c>
      <c r="E95" s="895" t="s">
        <v>613</v>
      </c>
      <c r="F95" s="895" t="s">
        <v>614</v>
      </c>
      <c r="G95" s="896">
        <v>0</v>
      </c>
      <c r="H95" s="897">
        <v>1114</v>
      </c>
      <c r="I95" s="896">
        <v>465</v>
      </c>
      <c r="J95" s="896">
        <v>0</v>
      </c>
      <c r="K95" s="896">
        <v>0</v>
      </c>
      <c r="L95" s="896">
        <v>0</v>
      </c>
      <c r="M95" s="896">
        <v>13</v>
      </c>
      <c r="N95" s="897">
        <v>1566</v>
      </c>
      <c r="O95" s="896">
        <v>71.53</v>
      </c>
      <c r="P95" s="896" t="s">
        <v>786</v>
      </c>
      <c r="T95" s="898"/>
    </row>
    <row r="96" spans="1:20" s="896" customFormat="1">
      <c r="A96" s="895" t="s">
        <v>777</v>
      </c>
      <c r="B96" s="895" t="s">
        <v>778</v>
      </c>
      <c r="C96" s="895" t="s">
        <v>328</v>
      </c>
      <c r="D96" s="895" t="s">
        <v>787</v>
      </c>
      <c r="E96" s="895" t="s">
        <v>613</v>
      </c>
      <c r="F96" s="895" t="s">
        <v>614</v>
      </c>
      <c r="G96" s="896">
        <v>0</v>
      </c>
      <c r="H96" s="896">
        <v>0</v>
      </c>
      <c r="I96" s="896">
        <v>0</v>
      </c>
      <c r="J96" s="896">
        <v>935</v>
      </c>
      <c r="K96" s="896">
        <v>0</v>
      </c>
      <c r="L96" s="896">
        <v>0</v>
      </c>
      <c r="M96" s="896">
        <v>0</v>
      </c>
      <c r="N96" s="896">
        <v>0</v>
      </c>
      <c r="O96" s="896">
        <v>935</v>
      </c>
      <c r="P96" s="896" t="s">
        <v>788</v>
      </c>
      <c r="Q96" s="896">
        <f>SUM(O92:O96)</f>
        <v>3734.47</v>
      </c>
      <c r="R96" s="896">
        <v>3814.0899999999997</v>
      </c>
      <c r="S96" s="896">
        <f>Q96-R96</f>
        <v>-79.619999999999891</v>
      </c>
      <c r="T96" s="898">
        <f t="shared" si="3"/>
        <v>-2.0875228429323874E-2</v>
      </c>
    </row>
    <row r="97" spans="1:20" s="892" customFormat="1">
      <c r="A97" s="891" t="s">
        <v>540</v>
      </c>
      <c r="B97" s="891" t="s">
        <v>789</v>
      </c>
      <c r="C97" s="891" t="s">
        <v>540</v>
      </c>
      <c r="D97" s="891" t="s">
        <v>790</v>
      </c>
      <c r="E97" s="891" t="s">
        <v>613</v>
      </c>
      <c r="F97" s="891" t="s">
        <v>614</v>
      </c>
      <c r="G97" s="892">
        <v>0</v>
      </c>
      <c r="H97" s="892">
        <v>0</v>
      </c>
      <c r="I97" s="892">
        <v>0</v>
      </c>
      <c r="J97" s="892">
        <v>215</v>
      </c>
      <c r="K97" s="892">
        <v>0</v>
      </c>
      <c r="L97" s="892">
        <v>0</v>
      </c>
      <c r="M97" s="892">
        <v>0</v>
      </c>
      <c r="N97" s="892">
        <v>0</v>
      </c>
      <c r="O97" s="892">
        <v>215</v>
      </c>
      <c r="P97" s="892" t="s">
        <v>732</v>
      </c>
      <c r="T97" s="894"/>
    </row>
    <row r="98" spans="1:20" s="892" customFormat="1">
      <c r="A98" s="891" t="s">
        <v>540</v>
      </c>
      <c r="B98" s="891" t="s">
        <v>789</v>
      </c>
      <c r="C98" s="891" t="s">
        <v>548</v>
      </c>
      <c r="D98" s="891" t="s">
        <v>791</v>
      </c>
      <c r="E98" s="891" t="s">
        <v>613</v>
      </c>
      <c r="F98" s="891" t="s">
        <v>614</v>
      </c>
      <c r="G98" s="892">
        <v>0</v>
      </c>
      <c r="H98" s="892">
        <v>0</v>
      </c>
      <c r="I98" s="892">
        <v>0</v>
      </c>
      <c r="J98" s="892">
        <v>0</v>
      </c>
      <c r="K98" s="892">
        <v>0</v>
      </c>
      <c r="L98" s="892">
        <v>27</v>
      </c>
      <c r="M98" s="892">
        <v>0</v>
      </c>
      <c r="N98" s="892">
        <v>0</v>
      </c>
      <c r="O98" s="892">
        <v>27</v>
      </c>
      <c r="P98" s="892" t="s">
        <v>677</v>
      </c>
      <c r="Q98" s="892">
        <f>SUM(O97:O98)</f>
        <v>242</v>
      </c>
      <c r="R98" s="892">
        <v>242</v>
      </c>
      <c r="S98" s="892">
        <f>Q98-R98</f>
        <v>0</v>
      </c>
      <c r="T98" s="894">
        <f t="shared" si="3"/>
        <v>0</v>
      </c>
    </row>
    <row r="99" spans="1:20" s="896" customFormat="1">
      <c r="A99" s="895" t="s">
        <v>555</v>
      </c>
      <c r="B99" s="895" t="s">
        <v>792</v>
      </c>
      <c r="C99" s="895" t="s">
        <v>555</v>
      </c>
      <c r="D99" s="895" t="s">
        <v>793</v>
      </c>
      <c r="E99" s="895" t="s">
        <v>613</v>
      </c>
      <c r="F99" s="895" t="s">
        <v>614</v>
      </c>
      <c r="G99" s="896">
        <v>0</v>
      </c>
      <c r="H99" s="896">
        <v>0</v>
      </c>
      <c r="I99" s="896">
        <v>0</v>
      </c>
      <c r="J99" s="896">
        <v>120</v>
      </c>
      <c r="K99" s="896">
        <v>0</v>
      </c>
      <c r="L99" s="896">
        <v>0</v>
      </c>
      <c r="M99" s="896">
        <v>0</v>
      </c>
      <c r="N99" s="896">
        <v>0</v>
      </c>
      <c r="O99" s="896">
        <v>120</v>
      </c>
      <c r="P99" s="896" t="s">
        <v>732</v>
      </c>
      <c r="Q99" s="896">
        <f>SUM(O99)</f>
        <v>120</v>
      </c>
      <c r="R99" s="896">
        <v>120</v>
      </c>
      <c r="S99" s="896">
        <f t="shared" si="1"/>
        <v>0</v>
      </c>
      <c r="T99" s="898">
        <f t="shared" si="3"/>
        <v>0</v>
      </c>
    </row>
    <row r="100" spans="1:20" s="892" customFormat="1">
      <c r="A100" s="891" t="s">
        <v>525</v>
      </c>
      <c r="B100" s="891" t="s">
        <v>794</v>
      </c>
      <c r="C100" s="891" t="s">
        <v>525</v>
      </c>
      <c r="D100" s="891" t="s">
        <v>795</v>
      </c>
      <c r="E100" s="891" t="s">
        <v>613</v>
      </c>
      <c r="F100" s="891" t="s">
        <v>614</v>
      </c>
      <c r="G100" s="892">
        <v>0</v>
      </c>
      <c r="H100" s="892">
        <v>0</v>
      </c>
      <c r="I100" s="892">
        <v>0</v>
      </c>
      <c r="J100" s="892">
        <v>195</v>
      </c>
      <c r="K100" s="892">
        <v>0</v>
      </c>
      <c r="L100" s="892">
        <v>0</v>
      </c>
      <c r="M100" s="892">
        <v>0</v>
      </c>
      <c r="N100" s="892">
        <v>0</v>
      </c>
      <c r="O100" s="892">
        <v>195</v>
      </c>
      <c r="P100" s="892" t="s">
        <v>732</v>
      </c>
      <c r="Q100" s="892">
        <f>SUM(O100)</f>
        <v>195</v>
      </c>
      <c r="R100" s="892">
        <v>195</v>
      </c>
      <c r="S100" s="892">
        <f>Q100-R100</f>
        <v>0</v>
      </c>
      <c r="T100" s="894">
        <f t="shared" si="3"/>
        <v>0</v>
      </c>
    </row>
    <row r="102" spans="1:20">
      <c r="A102" s="762" t="s">
        <v>796</v>
      </c>
      <c r="F102" s="891" t="s">
        <v>797</v>
      </c>
      <c r="G102" s="878">
        <f>SUM(G7:G101)</f>
        <v>179922</v>
      </c>
      <c r="H102" s="878">
        <f t="shared" ref="H102:O102" si="4">SUM(H7:H101)</f>
        <v>247807</v>
      </c>
      <c r="I102" s="878">
        <f t="shared" si="4"/>
        <v>81650</v>
      </c>
      <c r="J102" s="878">
        <f t="shared" si="4"/>
        <v>9479</v>
      </c>
      <c r="K102" s="878">
        <f t="shared" si="4"/>
        <v>293</v>
      </c>
      <c r="L102" s="878">
        <f t="shared" si="4"/>
        <v>27</v>
      </c>
      <c r="M102" s="878">
        <f t="shared" si="4"/>
        <v>1806</v>
      </c>
      <c r="N102" s="878">
        <f t="shared" si="4"/>
        <v>507573</v>
      </c>
      <c r="O102" s="878">
        <f t="shared" si="4"/>
        <v>30557.500000000011</v>
      </c>
      <c r="Q102" s="878">
        <f>SUM(Q7:Q100)</f>
        <v>29824.500000000004</v>
      </c>
      <c r="R102" s="878">
        <f>SUM(R7:R100)</f>
        <v>30210.509999999995</v>
      </c>
      <c r="S102" s="878">
        <f>Q102-R102</f>
        <v>-386.00999999999112</v>
      </c>
      <c r="T102" s="906">
        <f>S102/R102</f>
        <v>-1.2777341395427988E-2</v>
      </c>
    </row>
    <row r="103" spans="1:20">
      <c r="F103" s="891" t="s">
        <v>798</v>
      </c>
      <c r="G103" s="878">
        <v>183046</v>
      </c>
      <c r="H103" s="878">
        <v>255083</v>
      </c>
      <c r="I103" s="878">
        <v>81598</v>
      </c>
      <c r="J103" s="878">
        <v>9479</v>
      </c>
      <c r="K103" s="878">
        <v>294</v>
      </c>
      <c r="L103" s="878">
        <v>27</v>
      </c>
      <c r="M103" s="878">
        <v>2155</v>
      </c>
      <c r="N103" s="878">
        <v>518085</v>
      </c>
      <c r="O103" s="878">
        <v>30943.510000000006</v>
      </c>
    </row>
    <row r="104" spans="1:20">
      <c r="A104" s="762" t="s">
        <v>799</v>
      </c>
    </row>
    <row r="105" spans="1:20">
      <c r="A105" s="762" t="s">
        <v>800</v>
      </c>
      <c r="G105" s="878">
        <f>G102-G103</f>
        <v>-3124</v>
      </c>
      <c r="H105" s="878">
        <f t="shared" ref="H105:O105" si="5">H102-H103</f>
        <v>-7276</v>
      </c>
      <c r="I105" s="878">
        <f t="shared" si="5"/>
        <v>52</v>
      </c>
      <c r="J105" s="878">
        <f t="shared" si="5"/>
        <v>0</v>
      </c>
      <c r="K105" s="878">
        <f t="shared" si="5"/>
        <v>-1</v>
      </c>
      <c r="L105" s="878">
        <f t="shared" si="5"/>
        <v>0</v>
      </c>
      <c r="M105" s="878">
        <f t="shared" si="5"/>
        <v>-349</v>
      </c>
      <c r="N105" s="878">
        <f t="shared" si="5"/>
        <v>-10512</v>
      </c>
      <c r="O105" s="878">
        <f t="shared" si="5"/>
        <v>-386.00999999999476</v>
      </c>
    </row>
  </sheetData>
  <mergeCells count="5">
    <mergeCell ref="J3:L3"/>
    <mergeCell ref="Q4:Q5"/>
    <mergeCell ref="R4:R5"/>
    <mergeCell ref="S4:S5"/>
    <mergeCell ref="T4:T5"/>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CFDBF-B903-4388-B744-F2810EF8017E}">
  <sheetPr>
    <tabColor theme="5" tint="0.79998168889431442"/>
  </sheetPr>
  <dimension ref="A2:I16"/>
  <sheetViews>
    <sheetView showGridLines="0" zoomScale="130" zoomScaleNormal="130" workbookViewId="0"/>
  </sheetViews>
  <sheetFormatPr defaultColWidth="12.5546875" defaultRowHeight="14.25" customHeight="1"/>
  <cols>
    <col min="1" max="1" width="30.109375" style="907" customWidth="1"/>
    <col min="2" max="2" width="12.44140625" style="907" customWidth="1"/>
    <col min="3" max="3" width="11.6640625" style="907" customWidth="1"/>
    <col min="4" max="4" width="14.33203125" style="907" customWidth="1"/>
    <col min="5" max="5" width="14.44140625" style="907" customWidth="1"/>
    <col min="6" max="6" width="3.5546875" style="907" customWidth="1"/>
    <col min="7" max="7" width="11.6640625" style="907" customWidth="1"/>
    <col min="8" max="8" width="14.33203125" style="907" customWidth="1"/>
    <col min="9" max="9" width="14.44140625" style="907" customWidth="1"/>
    <col min="10" max="16384" width="12.5546875" style="907"/>
  </cols>
  <sheetData>
    <row r="2" spans="1:9" ht="37.5" customHeight="1">
      <c r="C2" s="961" t="s">
        <v>801</v>
      </c>
      <c r="D2" s="962"/>
      <c r="E2" s="908">
        <f>'I&amp;O Calc'!O6</f>
        <v>9688.5174829999996</v>
      </c>
      <c r="F2" s="909"/>
      <c r="G2" s="963" t="s">
        <v>802</v>
      </c>
      <c r="H2" s="964"/>
      <c r="I2" s="908">
        <v>9621.6635067952902</v>
      </c>
    </row>
    <row r="3" spans="1:9" ht="36.75" customHeight="1">
      <c r="A3" s="910" t="s">
        <v>803</v>
      </c>
      <c r="B3" s="911" t="s">
        <v>804</v>
      </c>
      <c r="C3" s="912" t="s">
        <v>805</v>
      </c>
      <c r="D3" s="913" t="s">
        <v>806</v>
      </c>
      <c r="E3" s="914" t="s">
        <v>807</v>
      </c>
      <c r="F3" s="915"/>
      <c r="G3" s="912" t="s">
        <v>805</v>
      </c>
      <c r="H3" s="913" t="s">
        <v>806</v>
      </c>
      <c r="I3" s="914" t="s">
        <v>807</v>
      </c>
    </row>
    <row r="4" spans="1:9" ht="14.25" customHeight="1">
      <c r="A4" s="916" t="s">
        <v>240</v>
      </c>
      <c r="B4" s="917" t="s">
        <v>320</v>
      </c>
      <c r="C4" s="918">
        <v>1</v>
      </c>
      <c r="D4" s="919">
        <v>20000</v>
      </c>
      <c r="E4" s="920">
        <f>C4*$E$2</f>
        <v>9688.5174829999996</v>
      </c>
      <c r="F4" s="921"/>
      <c r="G4" s="918">
        <v>1</v>
      </c>
      <c r="H4" s="919">
        <v>20000</v>
      </c>
      <c r="I4" s="920">
        <f>G4*$I$2</f>
        <v>9621.6635067952902</v>
      </c>
    </row>
    <row r="5" spans="1:9" ht="14.25" customHeight="1">
      <c r="A5" s="922" t="s">
        <v>241</v>
      </c>
      <c r="B5" s="923" t="s">
        <v>317</v>
      </c>
      <c r="C5" s="924">
        <v>1.018</v>
      </c>
      <c r="D5" s="925">
        <v>20000</v>
      </c>
      <c r="E5" s="920">
        <f t="shared" ref="E5:E11" si="0">C5*$E$2</f>
        <v>9862.9107976939995</v>
      </c>
      <c r="F5" s="921"/>
      <c r="G5" s="924">
        <v>1.018</v>
      </c>
      <c r="H5" s="925">
        <v>20000</v>
      </c>
      <c r="I5" s="920">
        <f t="shared" ref="I5:I12" si="1">G5*$I$2</f>
        <v>9794.8534499176058</v>
      </c>
    </row>
    <row r="6" spans="1:9" ht="14.25" customHeight="1">
      <c r="A6" s="922" t="s">
        <v>242</v>
      </c>
      <c r="B6" s="923" t="s">
        <v>354</v>
      </c>
      <c r="C6" s="924">
        <v>1.75</v>
      </c>
      <c r="D6" s="925">
        <v>20000</v>
      </c>
      <c r="E6" s="920">
        <f>C6*$E$2</f>
        <v>16954.905595249998</v>
      </c>
      <c r="F6" s="921"/>
      <c r="G6" s="924">
        <v>1.75</v>
      </c>
      <c r="H6" s="925">
        <v>20000</v>
      </c>
      <c r="I6" s="920">
        <f t="shared" si="1"/>
        <v>16837.911136891758</v>
      </c>
    </row>
    <row r="7" spans="1:9" ht="14.25" customHeight="1">
      <c r="A7" s="922" t="s">
        <v>278</v>
      </c>
      <c r="B7" s="923" t="s">
        <v>331</v>
      </c>
      <c r="C7" s="924">
        <v>1.1379999999999999</v>
      </c>
      <c r="D7" s="925">
        <v>20000</v>
      </c>
      <c r="E7" s="920">
        <f t="shared" si="0"/>
        <v>11025.532895653998</v>
      </c>
      <c r="F7" s="921"/>
      <c r="G7" s="924">
        <v>1.1379999999999999</v>
      </c>
      <c r="H7" s="925">
        <v>20000</v>
      </c>
      <c r="I7" s="920">
        <f t="shared" si="1"/>
        <v>10949.45307073304</v>
      </c>
    </row>
    <row r="8" spans="1:9" ht="14.25" customHeight="1">
      <c r="A8" s="922" t="s">
        <v>808</v>
      </c>
      <c r="B8" s="923" t="s">
        <v>531</v>
      </c>
      <c r="C8" s="924">
        <v>1.1379999999999999</v>
      </c>
      <c r="D8" s="925">
        <v>20000</v>
      </c>
      <c r="E8" s="920">
        <f t="shared" si="0"/>
        <v>11025.532895653998</v>
      </c>
      <c r="F8" s="921"/>
      <c r="G8" s="924">
        <v>1.1379999999999999</v>
      </c>
      <c r="H8" s="925">
        <v>20000</v>
      </c>
      <c r="I8" s="920">
        <f t="shared" si="1"/>
        <v>10949.45307073304</v>
      </c>
    </row>
    <row r="9" spans="1:9" ht="14.25" customHeight="1">
      <c r="A9" s="922" t="s">
        <v>244</v>
      </c>
      <c r="B9" s="923" t="s">
        <v>449</v>
      </c>
      <c r="C9" s="924">
        <v>1.67</v>
      </c>
      <c r="D9" s="925">
        <v>20000</v>
      </c>
      <c r="E9" s="920">
        <f t="shared" si="0"/>
        <v>16179.824196609999</v>
      </c>
      <c r="F9" s="921"/>
      <c r="G9" s="924">
        <v>1.67</v>
      </c>
      <c r="H9" s="925">
        <v>20000</v>
      </c>
      <c r="I9" s="920">
        <f t="shared" si="1"/>
        <v>16068.178056348133</v>
      </c>
    </row>
    <row r="10" spans="1:9" ht="14.25" customHeight="1">
      <c r="A10" s="922" t="s">
        <v>245</v>
      </c>
      <c r="B10" s="923" t="s">
        <v>335</v>
      </c>
      <c r="C10" s="924">
        <v>1.7210000000000001</v>
      </c>
      <c r="D10" s="925">
        <v>20000</v>
      </c>
      <c r="E10" s="920">
        <f t="shared" si="0"/>
        <v>16673.938588243</v>
      </c>
      <c r="F10" s="921"/>
      <c r="G10" s="924">
        <v>1.7210000000000001</v>
      </c>
      <c r="H10" s="925">
        <v>20000</v>
      </c>
      <c r="I10" s="920">
        <f t="shared" si="1"/>
        <v>16558.882895194696</v>
      </c>
    </row>
    <row r="11" spans="1:9" ht="14.25" customHeight="1">
      <c r="A11" s="922" t="s">
        <v>246</v>
      </c>
      <c r="B11" s="923" t="s">
        <v>342</v>
      </c>
      <c r="C11" s="924">
        <v>4.601</v>
      </c>
      <c r="D11" s="926">
        <v>30000</v>
      </c>
      <c r="E11" s="920">
        <f t="shared" si="0"/>
        <v>44576.868939282998</v>
      </c>
      <c r="F11" s="921"/>
      <c r="G11" s="924">
        <v>4.601</v>
      </c>
      <c r="H11" s="926">
        <v>30000</v>
      </c>
      <c r="I11" s="920">
        <f>G11*$I$2</f>
        <v>44269.273794765133</v>
      </c>
    </row>
    <row r="12" spans="1:9" ht="14.25" customHeight="1">
      <c r="A12" s="922" t="s">
        <v>247</v>
      </c>
      <c r="B12" s="923" t="s">
        <v>312</v>
      </c>
      <c r="C12" s="924">
        <v>4.7530000000000001</v>
      </c>
      <c r="D12" s="926">
        <v>30000</v>
      </c>
      <c r="E12" s="920">
        <f>C12*$E$2</f>
        <v>46049.523596699</v>
      </c>
      <c r="F12" s="921"/>
      <c r="G12" s="924">
        <v>4.7530000000000001</v>
      </c>
      <c r="H12" s="926">
        <v>30000</v>
      </c>
      <c r="I12" s="920">
        <f t="shared" si="1"/>
        <v>45731.766647798016</v>
      </c>
    </row>
    <row r="13" spans="1:9" ht="14.25" customHeight="1">
      <c r="A13" s="907" t="s">
        <v>248</v>
      </c>
      <c r="B13" s="907" t="s">
        <v>547</v>
      </c>
      <c r="C13" s="924">
        <v>4.7530000000000001</v>
      </c>
      <c r="D13" s="926">
        <v>30000</v>
      </c>
      <c r="E13" s="920">
        <f>C13*$E$2</f>
        <v>46049.523596699</v>
      </c>
      <c r="F13" s="921"/>
      <c r="G13" s="927"/>
      <c r="H13" s="928"/>
      <c r="I13" s="920"/>
    </row>
    <row r="14" spans="1:9" ht="14.25" customHeight="1">
      <c r="A14" s="929"/>
      <c r="C14" s="929"/>
      <c r="D14" s="930"/>
      <c r="E14" s="931"/>
      <c r="G14" s="929"/>
      <c r="H14" s="930"/>
      <c r="I14" s="931"/>
    </row>
    <row r="15" spans="1:9" ht="15" customHeight="1">
      <c r="A15" s="929" t="s">
        <v>809</v>
      </c>
      <c r="C15" s="929"/>
      <c r="D15" s="930">
        <v>200</v>
      </c>
      <c r="E15" s="931"/>
      <c r="G15" s="929"/>
      <c r="H15" s="930">
        <v>200</v>
      </c>
      <c r="I15" s="931"/>
    </row>
    <row r="16" spans="1:9" ht="14.25" customHeight="1">
      <c r="A16" s="932"/>
      <c r="B16" s="933"/>
      <c r="C16" s="932"/>
      <c r="D16" s="934"/>
      <c r="E16" s="935"/>
      <c r="G16" s="932"/>
      <c r="H16" s="934"/>
      <c r="I16" s="935"/>
    </row>
  </sheetData>
  <mergeCells count="2">
    <mergeCell ref="C2:D2"/>
    <mergeCell ref="G2:H2"/>
  </mergeCells>
  <pageMargins left="0.5" right="0.5" top="1" bottom="1" header="0.5" footer="0.5"/>
  <pageSetup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showGridLines="0" zoomScale="90" zoomScaleNormal="90" workbookViewId="0"/>
  </sheetViews>
  <sheetFormatPr defaultColWidth="9.109375" defaultRowHeight="13.2"/>
  <cols>
    <col min="1" max="1" width="48.33203125" style="1" customWidth="1"/>
    <col min="2" max="2" width="24.6640625" style="1" customWidth="1"/>
    <col min="3" max="3" width="11.44140625" style="1" customWidth="1"/>
    <col min="4" max="4" width="16.88671875" style="1" bestFit="1" customWidth="1"/>
    <col min="5" max="7" width="18.44140625" style="1" customWidth="1"/>
    <col min="8" max="16384" width="9.109375" style="1"/>
  </cols>
  <sheetData>
    <row r="1" spans="1:7">
      <c r="A1" s="4"/>
      <c r="C1" s="32"/>
      <c r="D1" s="68" t="s">
        <v>32</v>
      </c>
      <c r="E1" s="32"/>
      <c r="F1" s="32"/>
      <c r="G1" s="90"/>
    </row>
    <row r="2" spans="1:7">
      <c r="A2" s="936"/>
      <c r="C2" s="32"/>
      <c r="D2" s="68" t="s">
        <v>17</v>
      </c>
      <c r="E2" s="32"/>
      <c r="F2" s="32"/>
      <c r="G2" s="32"/>
    </row>
    <row r="3" spans="1:7">
      <c r="A3" s="32"/>
      <c r="C3" s="32"/>
      <c r="D3" s="68" t="str">
        <f>'Overall Summary FY 24-25'!D3</f>
        <v>Basis of Legislative Appropriations</v>
      </c>
      <c r="E3" s="32"/>
      <c r="F3" s="32"/>
      <c r="G3" s="32"/>
    </row>
    <row r="4" spans="1:7">
      <c r="A4" s="32"/>
      <c r="C4" s="32"/>
      <c r="D4" s="91">
        <f ca="1">'Overall Summary FY 24-25'!D4</f>
        <v>45163</v>
      </c>
      <c r="E4" s="32"/>
      <c r="F4" s="32"/>
      <c r="G4" s="32"/>
    </row>
    <row r="5" spans="1:7">
      <c r="A5" s="92"/>
      <c r="B5" s="68"/>
      <c r="C5" s="32"/>
      <c r="D5" s="32"/>
      <c r="E5" s="32"/>
      <c r="F5" s="32"/>
      <c r="G5" s="32"/>
    </row>
    <row r="6" spans="1:7">
      <c r="A6" s="93"/>
      <c r="B6" s="76" t="s">
        <v>114</v>
      </c>
      <c r="C6" s="76"/>
      <c r="D6" s="76"/>
      <c r="E6" s="76"/>
      <c r="F6" s="76"/>
      <c r="G6" s="162"/>
    </row>
    <row r="7" spans="1:7">
      <c r="A7" s="94" t="s">
        <v>43</v>
      </c>
      <c r="B7" s="95" t="s">
        <v>18</v>
      </c>
      <c r="C7" s="95"/>
      <c r="D7" s="95" t="s">
        <v>19</v>
      </c>
      <c r="E7" s="95" t="s">
        <v>15</v>
      </c>
      <c r="F7" s="95" t="s">
        <v>15</v>
      </c>
      <c r="G7" s="157" t="s">
        <v>37</v>
      </c>
    </row>
    <row r="8" spans="1:7">
      <c r="A8" s="96"/>
      <c r="B8" s="97" t="s">
        <v>20</v>
      </c>
      <c r="C8" s="97" t="s">
        <v>21</v>
      </c>
      <c r="D8" s="97" t="s">
        <v>22</v>
      </c>
      <c r="E8" s="97" t="s">
        <v>35</v>
      </c>
      <c r="F8" s="97" t="s">
        <v>36</v>
      </c>
      <c r="G8" s="158" t="s">
        <v>28</v>
      </c>
    </row>
    <row r="9" spans="1:7">
      <c r="A9" s="12" t="s">
        <v>23</v>
      </c>
      <c r="B9" s="12">
        <v>5053476</v>
      </c>
      <c r="C9" s="98">
        <f>$B$26</f>
        <v>6.1381439999999996</v>
      </c>
      <c r="D9" s="83">
        <f>ROUND($B9*$C9,0)</f>
        <v>31018963</v>
      </c>
      <c r="E9" s="83">
        <f>D9</f>
        <v>31018963</v>
      </c>
      <c r="F9" s="83">
        <f>D9</f>
        <v>31018963</v>
      </c>
      <c r="G9" s="159">
        <f>F9+E9</f>
        <v>62037926</v>
      </c>
    </row>
    <row r="10" spans="1:7">
      <c r="A10" s="12" t="s">
        <v>76</v>
      </c>
      <c r="B10" s="12">
        <v>2310586</v>
      </c>
      <c r="C10" s="98">
        <f>$B$26</f>
        <v>6.1381439999999996</v>
      </c>
      <c r="D10" s="84">
        <f>ROUND($B10*$C10,0)</f>
        <v>14182710</v>
      </c>
      <c r="E10" s="84">
        <f t="shared" ref="E10:E21" si="0">D10</f>
        <v>14182710</v>
      </c>
      <c r="F10" s="84">
        <f t="shared" ref="F10:F21" si="1">D10</f>
        <v>14182710</v>
      </c>
      <c r="G10" s="160">
        <f t="shared" ref="G10:G18" si="2">F10+E10</f>
        <v>28365420</v>
      </c>
    </row>
    <row r="11" spans="1:7">
      <c r="A11" s="12" t="s">
        <v>77</v>
      </c>
      <c r="B11" s="12">
        <v>4171410</v>
      </c>
      <c r="C11" s="98">
        <f t="shared" ref="C11:C22" si="3">$B$26</f>
        <v>6.1381439999999996</v>
      </c>
      <c r="D11" s="84">
        <f t="shared" ref="D11:D18" si="4">ROUND($B11*$C11,0)</f>
        <v>25604715</v>
      </c>
      <c r="E11" s="84">
        <f t="shared" si="0"/>
        <v>25604715</v>
      </c>
      <c r="F11" s="84">
        <f t="shared" si="1"/>
        <v>25604715</v>
      </c>
      <c r="G11" s="160">
        <f t="shared" si="2"/>
        <v>51209430</v>
      </c>
    </row>
    <row r="12" spans="1:7">
      <c r="A12" s="12" t="s">
        <v>78</v>
      </c>
      <c r="B12" s="12">
        <v>2542571</v>
      </c>
      <c r="C12" s="98">
        <f>$B$26</f>
        <v>6.1381439999999996</v>
      </c>
      <c r="D12" s="84">
        <f t="shared" si="4"/>
        <v>15606667</v>
      </c>
      <c r="E12" s="84">
        <f t="shared" si="0"/>
        <v>15606667</v>
      </c>
      <c r="F12" s="84">
        <f t="shared" si="1"/>
        <v>15606667</v>
      </c>
      <c r="G12" s="160">
        <f>F12+E12</f>
        <v>31213334</v>
      </c>
    </row>
    <row r="13" spans="1:7">
      <c r="A13" s="12" t="s">
        <v>24</v>
      </c>
      <c r="B13" s="12">
        <v>5429009</v>
      </c>
      <c r="C13" s="98">
        <f t="shared" si="3"/>
        <v>6.1381439999999996</v>
      </c>
      <c r="D13" s="84">
        <f t="shared" si="4"/>
        <v>33324039</v>
      </c>
      <c r="E13" s="84">
        <f t="shared" si="0"/>
        <v>33324039</v>
      </c>
      <c r="F13" s="84">
        <f t="shared" si="1"/>
        <v>33324039</v>
      </c>
      <c r="G13" s="160">
        <f t="shared" si="2"/>
        <v>66648078</v>
      </c>
    </row>
    <row r="14" spans="1:7">
      <c r="A14" s="12" t="s">
        <v>85</v>
      </c>
      <c r="B14" s="12">
        <v>356400</v>
      </c>
      <c r="C14" s="98">
        <f t="shared" si="3"/>
        <v>6.1381439999999996</v>
      </c>
      <c r="D14" s="84">
        <f t="shared" si="4"/>
        <v>2187635</v>
      </c>
      <c r="E14" s="84">
        <f t="shared" si="0"/>
        <v>2187635</v>
      </c>
      <c r="F14" s="84">
        <f t="shared" si="1"/>
        <v>2187635</v>
      </c>
      <c r="G14" s="160">
        <f t="shared" si="2"/>
        <v>4375270</v>
      </c>
    </row>
    <row r="15" spans="1:7">
      <c r="A15" s="12" t="s">
        <v>79</v>
      </c>
      <c r="B15" s="12">
        <v>2080119</v>
      </c>
      <c r="C15" s="98">
        <f t="shared" si="3"/>
        <v>6.1381439999999996</v>
      </c>
      <c r="D15" s="99">
        <f t="shared" si="4"/>
        <v>12768070</v>
      </c>
      <c r="E15" s="99">
        <f t="shared" si="0"/>
        <v>12768070</v>
      </c>
      <c r="F15" s="99">
        <f t="shared" si="1"/>
        <v>12768070</v>
      </c>
      <c r="G15" s="160">
        <f t="shared" si="2"/>
        <v>25536140</v>
      </c>
    </row>
    <row r="16" spans="1:7">
      <c r="A16" s="12" t="s">
        <v>80</v>
      </c>
      <c r="B16" s="12">
        <v>722399</v>
      </c>
      <c r="C16" s="98">
        <f t="shared" si="3"/>
        <v>6.1381439999999996</v>
      </c>
      <c r="D16" s="99">
        <f t="shared" si="4"/>
        <v>4434189</v>
      </c>
      <c r="E16" s="99">
        <f t="shared" si="0"/>
        <v>4434189</v>
      </c>
      <c r="F16" s="99">
        <f t="shared" si="1"/>
        <v>4434189</v>
      </c>
      <c r="G16" s="160">
        <f t="shared" si="2"/>
        <v>8868378</v>
      </c>
    </row>
    <row r="17" spans="1:7">
      <c r="A17" s="12" t="s">
        <v>75</v>
      </c>
      <c r="B17" s="12">
        <v>1580909</v>
      </c>
      <c r="C17" s="98">
        <f t="shared" si="3"/>
        <v>6.1381439999999996</v>
      </c>
      <c r="D17" s="84">
        <f t="shared" si="4"/>
        <v>9703847</v>
      </c>
      <c r="E17" s="84">
        <f t="shared" si="0"/>
        <v>9703847</v>
      </c>
      <c r="F17" s="84">
        <f t="shared" si="1"/>
        <v>9703847</v>
      </c>
      <c r="G17" s="160">
        <f t="shared" si="2"/>
        <v>19407694</v>
      </c>
    </row>
    <row r="18" spans="1:7">
      <c r="A18" s="12" t="s">
        <v>81</v>
      </c>
      <c r="B18" s="12">
        <v>528870</v>
      </c>
      <c r="C18" s="98">
        <f t="shared" si="3"/>
        <v>6.1381439999999996</v>
      </c>
      <c r="D18" s="12">
        <f t="shared" si="4"/>
        <v>3246280</v>
      </c>
      <c r="E18" s="12">
        <f t="shared" si="0"/>
        <v>3246280</v>
      </c>
      <c r="F18" s="12">
        <f t="shared" si="1"/>
        <v>3246280</v>
      </c>
      <c r="G18" s="160">
        <f t="shared" si="2"/>
        <v>6492560</v>
      </c>
    </row>
    <row r="19" spans="1:7">
      <c r="A19" s="12" t="s">
        <v>86</v>
      </c>
      <c r="B19" s="12">
        <v>433288</v>
      </c>
      <c r="C19" s="98">
        <f t="shared" si="3"/>
        <v>6.1381439999999996</v>
      </c>
      <c r="D19" s="12">
        <f>ROUND($B19*$C19,0)</f>
        <v>2659584</v>
      </c>
      <c r="E19" s="12">
        <f>D19</f>
        <v>2659584</v>
      </c>
      <c r="F19" s="12">
        <f>D19</f>
        <v>2659584</v>
      </c>
      <c r="G19" s="160">
        <f>F19+E19</f>
        <v>5319168</v>
      </c>
    </row>
    <row r="20" spans="1:7">
      <c r="A20" s="12" t="s">
        <v>82</v>
      </c>
      <c r="B20" s="12">
        <v>282523</v>
      </c>
      <c r="C20" s="98">
        <f t="shared" si="3"/>
        <v>6.1381439999999996</v>
      </c>
      <c r="D20" s="12">
        <f>ROUND($B20*$C20,0)</f>
        <v>1734167</v>
      </c>
      <c r="E20" s="12">
        <f>D20</f>
        <v>1734167</v>
      </c>
      <c r="F20" s="12">
        <f>D20</f>
        <v>1734167</v>
      </c>
      <c r="G20" s="160">
        <f>F20+E20</f>
        <v>3468334</v>
      </c>
    </row>
    <row r="21" spans="1:7">
      <c r="A21" s="12" t="s">
        <v>83</v>
      </c>
      <c r="B21" s="12">
        <v>145710</v>
      </c>
      <c r="C21" s="98">
        <f t="shared" si="3"/>
        <v>6.1381439999999996</v>
      </c>
      <c r="D21" s="12">
        <f>ROUND($B21*$C21,0)</f>
        <v>894389</v>
      </c>
      <c r="E21" s="12">
        <f t="shared" si="0"/>
        <v>894389</v>
      </c>
      <c r="F21" s="12">
        <f t="shared" si="1"/>
        <v>894389</v>
      </c>
      <c r="G21" s="160">
        <f>F21+E21</f>
        <v>1788778</v>
      </c>
    </row>
    <row r="22" spans="1:7">
      <c r="A22" s="33" t="s">
        <v>45</v>
      </c>
      <c r="B22" s="12">
        <v>98108</v>
      </c>
      <c r="C22" s="98">
        <f t="shared" si="3"/>
        <v>6.1381439999999996</v>
      </c>
      <c r="D22" s="12">
        <f>ROUND($B22*$C22,0)</f>
        <v>602201</v>
      </c>
      <c r="E22" s="12">
        <f t="shared" ref="E22" si="5">D22</f>
        <v>602201</v>
      </c>
      <c r="F22" s="12">
        <f t="shared" ref="F22" si="6">D22</f>
        <v>602201</v>
      </c>
      <c r="G22" s="160">
        <f>F22+E22</f>
        <v>1204402</v>
      </c>
    </row>
    <row r="23" spans="1:7">
      <c r="A23" s="100" t="s">
        <v>25</v>
      </c>
      <c r="B23" s="101">
        <f>SUM(B9:B22)</f>
        <v>25735378</v>
      </c>
      <c r="C23" s="12"/>
      <c r="D23" s="83">
        <f>SUM(D9:D22)</f>
        <v>157967456</v>
      </c>
      <c r="E23" s="83">
        <f t="shared" ref="E23:F23" si="7">SUM(E9:E22)</f>
        <v>157967456</v>
      </c>
      <c r="F23" s="83">
        <f t="shared" si="7"/>
        <v>157967456</v>
      </c>
      <c r="G23" s="161">
        <f>SUM(G9:G22)</f>
        <v>315934912</v>
      </c>
    </row>
    <row r="24" spans="1:7">
      <c r="A24" s="92" t="s">
        <v>113</v>
      </c>
      <c r="B24" s="102"/>
      <c r="C24" s="32"/>
      <c r="D24" s="32"/>
      <c r="E24" s="32"/>
      <c r="F24" s="32"/>
      <c r="G24" s="69"/>
    </row>
    <row r="25" spans="1:7">
      <c r="A25" s="32"/>
      <c r="B25" s="92"/>
      <c r="C25" s="32"/>
      <c r="D25" s="32"/>
      <c r="E25" s="32"/>
      <c r="F25" s="32"/>
      <c r="G25" s="32"/>
    </row>
    <row r="26" spans="1:7" ht="15" customHeight="1">
      <c r="A26" s="87" t="s">
        <v>38</v>
      </c>
      <c r="B26" s="221">
        <v>6.1381439999999996</v>
      </c>
      <c r="C26" s="965" t="s">
        <v>121</v>
      </c>
      <c r="D26" s="965"/>
      <c r="E26" s="965"/>
      <c r="F26" s="965"/>
      <c r="G26" s="966"/>
    </row>
    <row r="27" spans="1:7" ht="18" customHeight="1">
      <c r="A27" s="33"/>
      <c r="B27" s="34"/>
      <c r="C27" s="967"/>
      <c r="D27" s="967"/>
      <c r="E27" s="967"/>
      <c r="F27" s="967"/>
      <c r="G27" s="968"/>
    </row>
    <row r="28" spans="1:7" ht="18" customHeight="1">
      <c r="A28" s="32"/>
      <c r="B28" s="32"/>
      <c r="C28" s="103"/>
      <c r="D28" s="103"/>
      <c r="E28" s="103"/>
      <c r="F28" s="103"/>
      <c r="G28" s="103"/>
    </row>
    <row r="29" spans="1:7">
      <c r="A29" s="32"/>
      <c r="B29" s="32"/>
      <c r="C29" s="32"/>
      <c r="D29" s="32"/>
      <c r="E29" s="32"/>
      <c r="F29" s="32"/>
      <c r="G29" s="32"/>
    </row>
    <row r="30" spans="1:7">
      <c r="B30" s="2"/>
      <c r="C30" s="32"/>
      <c r="D30" s="32"/>
      <c r="E30" s="32"/>
      <c r="F30" s="32"/>
    </row>
    <row r="31" spans="1:7">
      <c r="A31" s="224"/>
    </row>
    <row r="32" spans="1:7">
      <c r="B32" s="2"/>
    </row>
  </sheetData>
  <mergeCells count="1">
    <mergeCell ref="C26:G27"/>
  </mergeCells>
  <phoneticPr fontId="8" type="noConversion"/>
  <pageMargins left="0.7" right="0.7" top="0.75" bottom="0.75" header="0.3" footer="0.3"/>
  <pageSetup orientation="portrait" horizontalDpi="300" verticalDpi="3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
  <sheetViews>
    <sheetView showGridLines="0" zoomScaleNormal="100" workbookViewId="0"/>
  </sheetViews>
  <sheetFormatPr defaultColWidth="9.109375" defaultRowHeight="13.2"/>
  <cols>
    <col min="1" max="1" width="41.5546875" style="4" customWidth="1"/>
    <col min="2" max="2" width="16.109375" style="4" customWidth="1"/>
    <col min="3" max="4" width="16.5546875" style="4" customWidth="1"/>
    <col min="5" max="5" width="13.6640625" style="4" customWidth="1"/>
    <col min="6" max="6" width="3.88671875" style="4" customWidth="1"/>
    <col min="7" max="7" width="13.88671875" style="4" customWidth="1"/>
    <col min="8" max="8" width="14.5546875" style="4" customWidth="1"/>
    <col min="9" max="9" width="15.6640625" style="4" customWidth="1"/>
    <col min="10" max="10" width="14.88671875" style="4" customWidth="1"/>
    <col min="11" max="11" width="17.6640625" style="4" customWidth="1"/>
    <col min="12" max="16384" width="9.109375" style="4"/>
  </cols>
  <sheetData>
    <row r="1" spans="1:11" ht="26.1" customHeight="1">
      <c r="B1" s="88"/>
      <c r="C1" s="88"/>
      <c r="D1" s="89" t="s">
        <v>0</v>
      </c>
      <c r="E1" s="5"/>
      <c r="F1" s="5"/>
      <c r="H1" s="5"/>
      <c r="I1" s="5"/>
    </row>
    <row r="2" spans="1:11" ht="20.100000000000001" customHeight="1">
      <c r="A2" s="936"/>
      <c r="B2" s="88"/>
      <c r="C2" s="88"/>
      <c r="D2" s="89" t="s">
        <v>1</v>
      </c>
      <c r="E2" s="5"/>
      <c r="F2" s="5"/>
      <c r="H2" s="5"/>
      <c r="I2" s="5"/>
    </row>
    <row r="3" spans="1:11" ht="15.75" customHeight="1">
      <c r="A3" s="88"/>
      <c r="B3" s="5"/>
      <c r="C3" s="5"/>
      <c r="D3" s="89" t="str">
        <f>'Overall Summary FY 24-25'!D3</f>
        <v>Basis of Legislative Appropriations</v>
      </c>
      <c r="E3" s="5"/>
      <c r="F3" s="5"/>
      <c r="G3" s="5"/>
      <c r="H3" s="5"/>
      <c r="I3" s="5"/>
    </row>
    <row r="4" spans="1:11" ht="19.5" customHeight="1">
      <c r="A4" s="6"/>
      <c r="B4" s="7"/>
      <c r="D4" s="91">
        <f ca="1">'Overall Summary FY 24-25'!D4</f>
        <v>45163</v>
      </c>
      <c r="K4" s="8"/>
    </row>
    <row r="5" spans="1:11" s="9" customFormat="1" ht="19.5" customHeight="1">
      <c r="B5" s="7"/>
      <c r="C5" s="4"/>
      <c r="D5" s="10"/>
      <c r="K5" s="10"/>
    </row>
    <row r="6" spans="1:11" ht="52.5" customHeight="1">
      <c r="A6" s="11"/>
      <c r="B6" s="167" t="s">
        <v>111</v>
      </c>
      <c r="C6" s="167" t="s">
        <v>2</v>
      </c>
      <c r="D6" s="167" t="s">
        <v>87</v>
      </c>
      <c r="E6" s="167" t="s">
        <v>88</v>
      </c>
      <c r="F6" s="168"/>
      <c r="G6" s="167" t="s">
        <v>39</v>
      </c>
      <c r="H6" s="167" t="s">
        <v>40</v>
      </c>
      <c r="I6" s="166" t="s">
        <v>41</v>
      </c>
    </row>
    <row r="7" spans="1:11">
      <c r="A7" s="12" t="s">
        <v>23</v>
      </c>
      <c r="B7" s="12">
        <v>640472716</v>
      </c>
      <c r="C7" s="13">
        <f>B7/B$21</f>
        <v>0.22826203753364907</v>
      </c>
      <c r="D7" s="14">
        <f>ROUND(C7*B$24,0)</f>
        <v>7475309</v>
      </c>
      <c r="E7" s="14">
        <f t="shared" ref="E7:E20" si="0">$B$25</f>
        <v>1412500</v>
      </c>
      <c r="F7" s="15"/>
      <c r="G7" s="14">
        <f>D7+E7</f>
        <v>8887809</v>
      </c>
      <c r="H7" s="14">
        <f>G7</f>
        <v>8887809</v>
      </c>
      <c r="I7" s="163">
        <f>SUM(G7:H7)</f>
        <v>17775618</v>
      </c>
    </row>
    <row r="8" spans="1:11">
      <c r="A8" s="12" t="s">
        <v>76</v>
      </c>
      <c r="B8" s="12">
        <v>171977460</v>
      </c>
      <c r="C8" s="13">
        <f>B8/B$21</f>
        <v>6.1292111980397974E-2</v>
      </c>
      <c r="D8" s="14">
        <f t="shared" ref="D8:D19" si="1">ROUND(C8*B$24,0)</f>
        <v>2007244</v>
      </c>
      <c r="E8" s="14">
        <f t="shared" si="0"/>
        <v>1412500</v>
      </c>
      <c r="F8" s="15"/>
      <c r="G8" s="14">
        <f t="shared" ref="G8:G19" si="2">D8+E8</f>
        <v>3419744</v>
      </c>
      <c r="H8" s="16">
        <f t="shared" ref="H8:H18" si="3">G8</f>
        <v>3419744</v>
      </c>
      <c r="I8" s="164">
        <f t="shared" ref="I8:I19" si="4">SUM(G8:H8)</f>
        <v>6839488</v>
      </c>
    </row>
    <row r="9" spans="1:11">
      <c r="A9" s="12" t="s">
        <v>77</v>
      </c>
      <c r="B9" s="12">
        <v>309595732</v>
      </c>
      <c r="C9" s="13">
        <f t="shared" ref="C9:C18" si="5">B9/B$21</f>
        <v>0.11033874017209744</v>
      </c>
      <c r="D9" s="14">
        <f t="shared" si="1"/>
        <v>3613462</v>
      </c>
      <c r="E9" s="14">
        <f t="shared" si="0"/>
        <v>1412500</v>
      </c>
      <c r="F9" s="15"/>
      <c r="G9" s="14">
        <f t="shared" si="2"/>
        <v>5025962</v>
      </c>
      <c r="H9" s="16">
        <f t="shared" si="3"/>
        <v>5025962</v>
      </c>
      <c r="I9" s="164">
        <f t="shared" si="4"/>
        <v>10051924</v>
      </c>
    </row>
    <row r="10" spans="1:11">
      <c r="A10" s="12" t="s">
        <v>78</v>
      </c>
      <c r="B10" s="12">
        <v>221431562</v>
      </c>
      <c r="C10" s="13">
        <f t="shared" si="5"/>
        <v>7.891736564837297E-2</v>
      </c>
      <c r="D10" s="14">
        <f t="shared" si="1"/>
        <v>2584450</v>
      </c>
      <c r="E10" s="14">
        <f t="shared" si="0"/>
        <v>1412500</v>
      </c>
      <c r="F10" s="15"/>
      <c r="G10" s="14">
        <f t="shared" si="2"/>
        <v>3996950</v>
      </c>
      <c r="H10" s="16">
        <f t="shared" si="3"/>
        <v>3996950</v>
      </c>
      <c r="I10" s="164">
        <f t="shared" si="4"/>
        <v>7993900</v>
      </c>
    </row>
    <row r="11" spans="1:11">
      <c r="A11" s="12" t="s">
        <v>24</v>
      </c>
      <c r="B11" s="12">
        <v>1074239585</v>
      </c>
      <c r="C11" s="13">
        <f t="shared" si="5"/>
        <v>0.38285489818023971</v>
      </c>
      <c r="D11" s="14">
        <f>ROUND(C11*B$24,0)</f>
        <v>12538041</v>
      </c>
      <c r="E11" s="14">
        <f t="shared" si="0"/>
        <v>1412500</v>
      </c>
      <c r="F11" s="15"/>
      <c r="G11" s="14">
        <f t="shared" si="2"/>
        <v>13950541</v>
      </c>
      <c r="H11" s="16">
        <f t="shared" si="3"/>
        <v>13950541</v>
      </c>
      <c r="I11" s="164">
        <f t="shared" si="4"/>
        <v>27901082</v>
      </c>
    </row>
    <row r="12" spans="1:11">
      <c r="A12" s="12" t="s">
        <v>85</v>
      </c>
      <c r="B12" s="12">
        <v>27850484</v>
      </c>
      <c r="C12" s="13">
        <f t="shared" si="5"/>
        <v>9.9258064634533041E-3</v>
      </c>
      <c r="D12" s="14">
        <f t="shared" si="1"/>
        <v>325058</v>
      </c>
      <c r="E12" s="14">
        <f t="shared" si="0"/>
        <v>1412500</v>
      </c>
      <c r="F12" s="15"/>
      <c r="G12" s="14">
        <f t="shared" si="2"/>
        <v>1737558</v>
      </c>
      <c r="H12" s="16">
        <f t="shared" si="3"/>
        <v>1737558</v>
      </c>
      <c r="I12" s="164">
        <f t="shared" si="4"/>
        <v>3475116</v>
      </c>
    </row>
    <row r="13" spans="1:11">
      <c r="A13" s="12" t="s">
        <v>79</v>
      </c>
      <c r="B13" s="12">
        <v>175355201</v>
      </c>
      <c r="C13" s="13">
        <f t="shared" si="5"/>
        <v>6.2495926012846072E-2</v>
      </c>
      <c r="D13" s="14">
        <f>ROUND(C13*B$24,0)</f>
        <v>2046667</v>
      </c>
      <c r="E13" s="14">
        <f t="shared" si="0"/>
        <v>1412500</v>
      </c>
      <c r="F13" s="15"/>
      <c r="G13" s="14">
        <f t="shared" si="2"/>
        <v>3459167</v>
      </c>
      <c r="H13" s="16">
        <f t="shared" si="3"/>
        <v>3459167</v>
      </c>
      <c r="I13" s="164">
        <f t="shared" si="4"/>
        <v>6918334</v>
      </c>
      <c r="K13" s="17"/>
    </row>
    <row r="14" spans="1:11">
      <c r="A14" s="12" t="s">
        <v>80</v>
      </c>
      <c r="B14" s="12">
        <v>57311147</v>
      </c>
      <c r="C14" s="13">
        <f t="shared" si="5"/>
        <v>2.0425474592129976E-2</v>
      </c>
      <c r="D14" s="14">
        <f t="shared" si="1"/>
        <v>668910</v>
      </c>
      <c r="E14" s="14">
        <f t="shared" si="0"/>
        <v>1412500</v>
      </c>
      <c r="F14" s="15"/>
      <c r="G14" s="14">
        <f t="shared" si="2"/>
        <v>2081410</v>
      </c>
      <c r="H14" s="16">
        <f t="shared" si="3"/>
        <v>2081410</v>
      </c>
      <c r="I14" s="164">
        <f t="shared" si="4"/>
        <v>4162820</v>
      </c>
    </row>
    <row r="15" spans="1:11">
      <c r="A15" s="12" t="s">
        <v>75</v>
      </c>
      <c r="B15" s="12">
        <v>46270716</v>
      </c>
      <c r="C15" s="13">
        <f t="shared" si="5"/>
        <v>1.6490707017566095E-2</v>
      </c>
      <c r="D15" s="14">
        <f t="shared" si="1"/>
        <v>540051</v>
      </c>
      <c r="E15" s="14">
        <f t="shared" si="0"/>
        <v>1412500</v>
      </c>
      <c r="F15" s="15"/>
      <c r="G15" s="14">
        <f t="shared" si="2"/>
        <v>1952551</v>
      </c>
      <c r="H15" s="16">
        <f t="shared" si="3"/>
        <v>1952551</v>
      </c>
      <c r="I15" s="164">
        <f t="shared" si="4"/>
        <v>3905102</v>
      </c>
    </row>
    <row r="16" spans="1:11">
      <c r="A16" s="12" t="s">
        <v>81</v>
      </c>
      <c r="B16" s="12">
        <v>13535299</v>
      </c>
      <c r="C16" s="13">
        <f>B16/B$21</f>
        <v>4.82392903114262E-3</v>
      </c>
      <c r="D16" s="14">
        <f t="shared" si="1"/>
        <v>157978</v>
      </c>
      <c r="E16" s="14">
        <f t="shared" si="0"/>
        <v>1412500</v>
      </c>
      <c r="F16" s="15"/>
      <c r="G16" s="14">
        <f t="shared" si="2"/>
        <v>1570478</v>
      </c>
      <c r="H16" s="16">
        <f t="shared" si="3"/>
        <v>1570478</v>
      </c>
      <c r="I16" s="164">
        <f t="shared" si="4"/>
        <v>3140956</v>
      </c>
    </row>
    <row r="17" spans="1:9">
      <c r="A17" s="12" t="s">
        <v>86</v>
      </c>
      <c r="B17" s="12">
        <v>45552212</v>
      </c>
      <c r="C17" s="13">
        <f t="shared" si="5"/>
        <v>1.623463492750055E-2</v>
      </c>
      <c r="D17" s="14">
        <f t="shared" si="1"/>
        <v>531665</v>
      </c>
      <c r="E17" s="14">
        <f t="shared" si="0"/>
        <v>1412500</v>
      </c>
      <c r="F17" s="15"/>
      <c r="G17" s="14">
        <f t="shared" si="2"/>
        <v>1944165</v>
      </c>
      <c r="H17" s="16">
        <f t="shared" si="3"/>
        <v>1944165</v>
      </c>
      <c r="I17" s="164">
        <f t="shared" si="4"/>
        <v>3888330</v>
      </c>
    </row>
    <row r="18" spans="1:9">
      <c r="A18" s="12" t="s">
        <v>82</v>
      </c>
      <c r="B18" s="12">
        <v>21021776</v>
      </c>
      <c r="C18" s="13">
        <f t="shared" si="5"/>
        <v>7.4920809309478266E-3</v>
      </c>
      <c r="D18" s="14">
        <f t="shared" si="1"/>
        <v>245357</v>
      </c>
      <c r="E18" s="14">
        <f t="shared" si="0"/>
        <v>1412500</v>
      </c>
      <c r="F18" s="15"/>
      <c r="G18" s="14">
        <f t="shared" si="2"/>
        <v>1657857</v>
      </c>
      <c r="H18" s="16">
        <f t="shared" si="3"/>
        <v>1657857</v>
      </c>
      <c r="I18" s="164">
        <f t="shared" si="4"/>
        <v>3315714</v>
      </c>
    </row>
    <row r="19" spans="1:9">
      <c r="A19" s="12" t="s">
        <v>83</v>
      </c>
      <c r="B19" s="12">
        <v>758750</v>
      </c>
      <c r="C19" s="13">
        <f>B19/B$21</f>
        <v>2.7041561123839695E-4</v>
      </c>
      <c r="D19" s="14">
        <f t="shared" si="1"/>
        <v>8856</v>
      </c>
      <c r="E19" s="14">
        <f t="shared" si="0"/>
        <v>1412500</v>
      </c>
      <c r="F19" s="15"/>
      <c r="G19" s="14">
        <f t="shared" si="2"/>
        <v>1421356</v>
      </c>
      <c r="H19" s="16">
        <f>G19</f>
        <v>1421356</v>
      </c>
      <c r="I19" s="164">
        <f t="shared" si="4"/>
        <v>2842712</v>
      </c>
    </row>
    <row r="20" spans="1:9">
      <c r="A20" s="33" t="s">
        <v>45</v>
      </c>
      <c r="B20" s="12">
        <v>493473</v>
      </c>
      <c r="C20" s="13">
        <f>B20/B$21</f>
        <v>1.7587189841798413E-4</v>
      </c>
      <c r="D20" s="14">
        <f>ROUND(C20*B$24,0)</f>
        <v>5760</v>
      </c>
      <c r="E20" s="14">
        <f t="shared" si="0"/>
        <v>1412500</v>
      </c>
      <c r="F20" s="15"/>
      <c r="G20" s="14">
        <f>D20+E20</f>
        <v>1418260</v>
      </c>
      <c r="H20" s="16">
        <f>G20</f>
        <v>1418260</v>
      </c>
      <c r="I20" s="164">
        <f>SUM(G20:H20)</f>
        <v>2836520</v>
      </c>
    </row>
    <row r="21" spans="1:9" ht="16.5" customHeight="1">
      <c r="A21" s="11" t="s">
        <v>15</v>
      </c>
      <c r="B21" s="14">
        <f>SUM(B7:B20)</f>
        <v>2805866113</v>
      </c>
      <c r="C21" s="18">
        <f>SUM(C7:C20)</f>
        <v>0.99999999999999989</v>
      </c>
      <c r="D21" s="19">
        <f>SUM(D7:D20)</f>
        <v>32748808</v>
      </c>
      <c r="E21" s="19">
        <f>SUM(E7:E20)</f>
        <v>19775000</v>
      </c>
      <c r="F21" s="104"/>
      <c r="G21" s="19">
        <f>SUM(G7:G20)</f>
        <v>52523808</v>
      </c>
      <c r="H21" s="19">
        <f>SUM(H7:H20)</f>
        <v>52523808</v>
      </c>
      <c r="I21" s="165">
        <f>SUM(I7:I20)</f>
        <v>105047616</v>
      </c>
    </row>
    <row r="22" spans="1:9" ht="16.5" customHeight="1">
      <c r="B22" s="20"/>
      <c r="C22" s="21"/>
      <c r="D22" s="22"/>
      <c r="E22" s="22"/>
      <c r="F22" s="22"/>
      <c r="G22" s="22"/>
      <c r="H22" s="22"/>
      <c r="I22" s="23"/>
    </row>
    <row r="23" spans="1:9" ht="13.5" customHeight="1">
      <c r="A23" s="26"/>
      <c r="B23" s="27"/>
      <c r="C23" s="28" t="s">
        <v>16</v>
      </c>
      <c r="D23" s="29"/>
      <c r="E23" s="29"/>
      <c r="F23" s="29"/>
      <c r="G23" s="29"/>
      <c r="H23" s="30"/>
      <c r="I23" s="8"/>
    </row>
    <row r="24" spans="1:9" ht="26.4">
      <c r="A24" s="105" t="s">
        <v>90</v>
      </c>
      <c r="B24" s="106">
        <f>ROUND((C24*B21),0)</f>
        <v>32748807</v>
      </c>
      <c r="C24" s="220">
        <v>1.1671549999999999E-2</v>
      </c>
      <c r="G24" s="29"/>
      <c r="H24" s="31"/>
      <c r="I24" s="31"/>
    </row>
    <row r="25" spans="1:9" s="6" customFormat="1" ht="16.5" customHeight="1">
      <c r="A25" s="6" t="s">
        <v>89</v>
      </c>
      <c r="B25" s="23">
        <v>1412500</v>
      </c>
      <c r="C25" s="24"/>
      <c r="D25" s="25"/>
      <c r="E25" s="25"/>
      <c r="F25" s="25"/>
      <c r="G25" s="25"/>
      <c r="H25" s="25"/>
      <c r="I25" s="23"/>
    </row>
    <row r="26" spans="1:9">
      <c r="A26" s="32"/>
      <c r="B26" s="32"/>
      <c r="C26" s="35"/>
      <c r="D26" s="31"/>
      <c r="E26" s="29"/>
      <c r="F26" s="29"/>
      <c r="G26" s="31"/>
      <c r="H26" s="31"/>
      <c r="I26" s="31"/>
    </row>
    <row r="27" spans="1:9">
      <c r="A27" s="4" t="s">
        <v>118</v>
      </c>
    </row>
    <row r="28" spans="1:9" ht="12.75" customHeight="1"/>
    <row r="29" spans="1:9" ht="12.75" customHeight="1"/>
    <row r="30" spans="1:9" ht="12.75" customHeight="1"/>
    <row r="31" spans="1:9" ht="13.5" customHeight="1"/>
  </sheetData>
  <pageMargins left="0.25" right="0.25" top="0.5" bottom="0.25" header="0.5" footer="0.5"/>
  <pageSetup scale="92" orientation="landscape" horizontalDpi="1200" verticalDpi="1200" r:id="rId1"/>
  <headerFooter alignWithMargins="0">
    <oddFooter>&amp;R&amp;8&amp;D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1"/>
  <sheetViews>
    <sheetView showGridLines="0" zoomScale="90" zoomScaleNormal="90" workbookViewId="0"/>
  </sheetViews>
  <sheetFormatPr defaultColWidth="9.109375" defaultRowHeight="13.2"/>
  <cols>
    <col min="1" max="1" width="43.6640625" style="1" customWidth="1"/>
    <col min="2" max="2" width="25.6640625" style="1" customWidth="1"/>
    <col min="3" max="5" width="19.6640625" style="1" customWidth="1"/>
    <col min="6" max="16384" width="9.109375" style="1"/>
  </cols>
  <sheetData>
    <row r="1" spans="1:5">
      <c r="A1" s="67"/>
      <c r="B1" s="32"/>
      <c r="C1" s="32"/>
      <c r="D1" s="68" t="s">
        <v>26</v>
      </c>
      <c r="E1" s="32"/>
    </row>
    <row r="2" spans="1:5">
      <c r="A2" s="67"/>
      <c r="B2" s="32"/>
      <c r="C2" s="69"/>
      <c r="D2" s="68" t="str">
        <f>'Overall Summary FY 24-25'!D3</f>
        <v>Basis of Legislative Appropriations</v>
      </c>
      <c r="E2" s="69"/>
    </row>
    <row r="3" spans="1:5">
      <c r="A3" s="32"/>
      <c r="B3" s="69"/>
      <c r="C3" s="69"/>
      <c r="D3" s="91">
        <f ca="1">'Overall Summary FY 24-25'!D4</f>
        <v>45163</v>
      </c>
      <c r="E3" s="69"/>
    </row>
    <row r="4" spans="1:5">
      <c r="A4" s="32"/>
      <c r="B4" s="32"/>
      <c r="C4" s="70"/>
      <c r="D4" s="71"/>
      <c r="E4" s="69"/>
    </row>
    <row r="5" spans="1:5" ht="18" customHeight="1">
      <c r="A5" s="72"/>
      <c r="B5" s="73"/>
      <c r="C5" s="74">
        <f>B25</f>
        <v>5969.8770759999998</v>
      </c>
      <c r="D5" s="75">
        <f>B25</f>
        <v>5969.8770759999998</v>
      </c>
      <c r="E5" s="169">
        <f>C5+D5</f>
        <v>11939.754152</v>
      </c>
    </row>
    <row r="6" spans="1:5">
      <c r="A6" s="68"/>
      <c r="B6" s="76" t="s">
        <v>44</v>
      </c>
      <c r="C6" s="77" t="s">
        <v>15</v>
      </c>
      <c r="D6" s="78" t="s">
        <v>15</v>
      </c>
      <c r="E6" s="162" t="s">
        <v>37</v>
      </c>
    </row>
    <row r="7" spans="1:5">
      <c r="A7" s="79" t="s">
        <v>27</v>
      </c>
      <c r="B7" s="80" t="s">
        <v>101</v>
      </c>
      <c r="C7" s="81" t="s">
        <v>35</v>
      </c>
      <c r="D7" s="82" t="s">
        <v>36</v>
      </c>
      <c r="E7" s="170" t="s">
        <v>28</v>
      </c>
    </row>
    <row r="8" spans="1:5">
      <c r="A8" s="12" t="s">
        <v>23</v>
      </c>
      <c r="B8" s="156">
        <v>1512</v>
      </c>
      <c r="C8" s="83">
        <f>ROUND(($B8*C$5),0)</f>
        <v>9026454</v>
      </c>
      <c r="D8" s="83">
        <f>ROUND(($B8*D$5),0)</f>
        <v>9026454</v>
      </c>
      <c r="E8" s="159">
        <f>ROUND((D8+C8),0)</f>
        <v>18052908</v>
      </c>
    </row>
    <row r="9" spans="1:5">
      <c r="A9" s="12" t="s">
        <v>76</v>
      </c>
      <c r="B9" s="156">
        <v>650</v>
      </c>
      <c r="C9" s="84">
        <f>ROUND(($B9*C$5),0)</f>
        <v>3880420</v>
      </c>
      <c r="D9" s="84">
        <f t="shared" ref="C9:D18" si="0">ROUND(($B9*D$5),0)</f>
        <v>3880420</v>
      </c>
      <c r="E9" s="160">
        <f t="shared" ref="E9:E16" si="1">ROUND((D9+C9),0)</f>
        <v>7760840</v>
      </c>
    </row>
    <row r="10" spans="1:5">
      <c r="A10" s="12" t="s">
        <v>77</v>
      </c>
      <c r="B10" s="156">
        <v>1133</v>
      </c>
      <c r="C10" s="84">
        <f t="shared" si="0"/>
        <v>6763871</v>
      </c>
      <c r="D10" s="84">
        <f t="shared" si="0"/>
        <v>6763871</v>
      </c>
      <c r="E10" s="160">
        <f t="shared" si="1"/>
        <v>13527742</v>
      </c>
    </row>
    <row r="11" spans="1:5">
      <c r="A11" s="12" t="s">
        <v>78</v>
      </c>
      <c r="B11" s="156">
        <v>874</v>
      </c>
      <c r="C11" s="84">
        <f t="shared" si="0"/>
        <v>5217673</v>
      </c>
      <c r="D11" s="84">
        <f t="shared" si="0"/>
        <v>5217673</v>
      </c>
      <c r="E11" s="160">
        <f t="shared" si="1"/>
        <v>10435346</v>
      </c>
    </row>
    <row r="12" spans="1:5">
      <c r="A12" s="12" t="s">
        <v>24</v>
      </c>
      <c r="B12" s="156">
        <v>159</v>
      </c>
      <c r="C12" s="84">
        <f t="shared" si="0"/>
        <v>949210</v>
      </c>
      <c r="D12" s="84">
        <f t="shared" si="0"/>
        <v>949210</v>
      </c>
      <c r="E12" s="160">
        <f t="shared" si="1"/>
        <v>1898420</v>
      </c>
    </row>
    <row r="13" spans="1:5">
      <c r="A13" s="12" t="s">
        <v>85</v>
      </c>
      <c r="B13" s="156">
        <v>147</v>
      </c>
      <c r="C13" s="84">
        <f t="shared" si="0"/>
        <v>877572</v>
      </c>
      <c r="D13" s="84">
        <f t="shared" si="0"/>
        <v>877572</v>
      </c>
      <c r="E13" s="160">
        <f t="shared" si="1"/>
        <v>1755144</v>
      </c>
    </row>
    <row r="14" spans="1:5">
      <c r="A14" s="12" t="s">
        <v>79</v>
      </c>
      <c r="B14" s="156">
        <v>1450</v>
      </c>
      <c r="C14" s="84">
        <f t="shared" si="0"/>
        <v>8656322</v>
      </c>
      <c r="D14" s="84">
        <f t="shared" si="0"/>
        <v>8656322</v>
      </c>
      <c r="E14" s="160">
        <f t="shared" si="1"/>
        <v>17312644</v>
      </c>
    </row>
    <row r="15" spans="1:5">
      <c r="A15" s="12" t="s">
        <v>80</v>
      </c>
      <c r="B15" s="156">
        <v>616</v>
      </c>
      <c r="C15" s="84">
        <f t="shared" si="0"/>
        <v>3677444</v>
      </c>
      <c r="D15" s="84">
        <f t="shared" si="0"/>
        <v>3677444</v>
      </c>
      <c r="E15" s="160">
        <f t="shared" si="1"/>
        <v>7354888</v>
      </c>
    </row>
    <row r="16" spans="1:5">
      <c r="A16" s="12" t="s">
        <v>75</v>
      </c>
      <c r="B16" s="156">
        <v>577</v>
      </c>
      <c r="C16" s="84">
        <f t="shared" si="0"/>
        <v>3444619</v>
      </c>
      <c r="D16" s="84">
        <f t="shared" si="0"/>
        <v>3444619</v>
      </c>
      <c r="E16" s="160">
        <f t="shared" si="1"/>
        <v>6889238</v>
      </c>
    </row>
    <row r="17" spans="1:7">
      <c r="A17" s="12" t="s">
        <v>81</v>
      </c>
      <c r="B17" s="156">
        <v>296</v>
      </c>
      <c r="C17" s="84">
        <f t="shared" si="0"/>
        <v>1767084</v>
      </c>
      <c r="D17" s="84">
        <f t="shared" si="0"/>
        <v>1767084</v>
      </c>
      <c r="E17" s="160">
        <f>ROUND((D17+C17),0)</f>
        <v>3534168</v>
      </c>
    </row>
    <row r="18" spans="1:7">
      <c r="A18" s="12" t="s">
        <v>86</v>
      </c>
      <c r="B18" s="156">
        <v>389</v>
      </c>
      <c r="C18" s="84">
        <f>ROUND(($B18*C$5),0)</f>
        <v>2322282</v>
      </c>
      <c r="D18" s="84">
        <f t="shared" si="0"/>
        <v>2322282</v>
      </c>
      <c r="E18" s="160">
        <f>ROUND((D18+C18),0)</f>
        <v>4644564</v>
      </c>
    </row>
    <row r="19" spans="1:7">
      <c r="A19" s="12" t="s">
        <v>82</v>
      </c>
      <c r="B19" s="156">
        <v>257</v>
      </c>
      <c r="C19" s="84">
        <f>ROUND(($B19*C$5),0)</f>
        <v>1534258</v>
      </c>
      <c r="D19" s="84">
        <f>ROUND(($B19*D$5),0)</f>
        <v>1534258</v>
      </c>
      <c r="E19" s="160">
        <f>ROUND((D19+C19),0)</f>
        <v>3068516</v>
      </c>
    </row>
    <row r="20" spans="1:7">
      <c r="A20" s="12" t="s">
        <v>83</v>
      </c>
      <c r="B20" s="156">
        <v>161</v>
      </c>
      <c r="C20" s="84">
        <f>ROUND(($B20*C$5),0)</f>
        <v>961150</v>
      </c>
      <c r="D20" s="84">
        <f>ROUND(($B20*D$5),0)</f>
        <v>961150</v>
      </c>
      <c r="E20" s="160">
        <f>ROUND((D20+C20),0)</f>
        <v>1922300</v>
      </c>
    </row>
    <row r="21" spans="1:7">
      <c r="A21" s="216" t="s">
        <v>29</v>
      </c>
      <c r="B21" s="217">
        <f>SUM(B8:B20)</f>
        <v>8221</v>
      </c>
      <c r="C21" s="85">
        <f>SUM(C8:C20)</f>
        <v>49078359</v>
      </c>
      <c r="D21" s="119">
        <f>SUM(D8:D20)</f>
        <v>49078359</v>
      </c>
      <c r="E21" s="171">
        <f>SUM(E8:E20)</f>
        <v>98156718</v>
      </c>
    </row>
    <row r="22" spans="1:7">
      <c r="A22" s="12" t="s">
        <v>30</v>
      </c>
      <c r="B22" s="34">
        <v>1508</v>
      </c>
      <c r="C22" s="86">
        <f>ROUND(($B22*C$5),0)</f>
        <v>9002575</v>
      </c>
      <c r="D22" s="83">
        <f>ROUND(($B22*D$5),0)</f>
        <v>9002575</v>
      </c>
      <c r="E22" s="172">
        <f>ROUND((D22+C22),0)</f>
        <v>18005150</v>
      </c>
    </row>
    <row r="23" spans="1:7" s="120" customFormat="1">
      <c r="A23" s="101" t="s">
        <v>31</v>
      </c>
      <c r="B23" s="101">
        <f>B22+B21</f>
        <v>9729</v>
      </c>
      <c r="C23" s="119">
        <f>C22+C21</f>
        <v>58080934</v>
      </c>
      <c r="D23" s="119">
        <f>D22+D21</f>
        <v>58080934</v>
      </c>
      <c r="E23" s="161">
        <f>E22+E21</f>
        <v>116161868</v>
      </c>
      <c r="G23" s="219"/>
    </row>
    <row r="25" spans="1:7" ht="15" customHeight="1">
      <c r="A25" s="87" t="s">
        <v>46</v>
      </c>
      <c r="B25" s="221">
        <v>5969.8770759999998</v>
      </c>
      <c r="C25" s="965" t="s">
        <v>121</v>
      </c>
      <c r="D25" s="965"/>
      <c r="E25" s="966"/>
    </row>
    <row r="26" spans="1:7" ht="18" customHeight="1">
      <c r="A26" s="33"/>
      <c r="B26" s="34"/>
      <c r="C26" s="967"/>
      <c r="D26" s="967"/>
      <c r="E26" s="968"/>
    </row>
    <row r="28" spans="1:7">
      <c r="A28" s="1" t="s">
        <v>34</v>
      </c>
    </row>
    <row r="29" spans="1:7">
      <c r="A29" s="3" t="s">
        <v>42</v>
      </c>
    </row>
    <row r="30" spans="1:7">
      <c r="A30" s="3" t="s">
        <v>97</v>
      </c>
    </row>
    <row r="31" spans="1:7">
      <c r="A31" s="3"/>
    </row>
  </sheetData>
  <mergeCells count="1">
    <mergeCell ref="C25:E26"/>
  </mergeCells>
  <pageMargins left="0.7" right="0.7" top="0.75" bottom="0.75" header="0.3" footer="0.3"/>
  <pageSetup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F2376-F8E4-474F-80FA-EDAC6C9025DD}">
  <dimension ref="A1:F47"/>
  <sheetViews>
    <sheetView topLeftCell="A31" zoomScale="110" zoomScaleNormal="110" workbookViewId="0"/>
  </sheetViews>
  <sheetFormatPr defaultColWidth="8.6640625" defaultRowHeight="13.8"/>
  <cols>
    <col min="1" max="1" width="4.33203125" style="227" customWidth="1"/>
    <col min="2" max="2" width="52.6640625" style="227" customWidth="1"/>
    <col min="3" max="3" width="20.6640625" style="227" customWidth="1"/>
    <col min="4" max="4" width="2.44140625" style="227" customWidth="1"/>
    <col min="5" max="5" width="20.33203125" style="227" customWidth="1"/>
    <col min="6" max="6" width="18.6640625" style="227" customWidth="1"/>
    <col min="7" max="16384" width="8.6640625" style="227"/>
  </cols>
  <sheetData>
    <row r="1" spans="1:6">
      <c r="D1" s="228"/>
    </row>
    <row r="2" spans="1:6" ht="27.6">
      <c r="B2" s="232" t="s">
        <v>128</v>
      </c>
      <c r="C2" s="230" t="s">
        <v>818</v>
      </c>
      <c r="D2" s="231"/>
      <c r="E2" s="230" t="s">
        <v>819</v>
      </c>
      <c r="F2" s="232" t="s">
        <v>129</v>
      </c>
    </row>
    <row r="3" spans="1:6">
      <c r="D3" s="228"/>
    </row>
    <row r="4" spans="1:6">
      <c r="A4" s="227">
        <v>1</v>
      </c>
      <c r="B4" s="227" t="s">
        <v>4</v>
      </c>
      <c r="C4" s="233">
        <f>'Clinical Mission Specifics'!D5</f>
        <v>306758682</v>
      </c>
      <c r="D4" s="228"/>
      <c r="E4" s="233">
        <f>'Clinical Mission Specifics'!J5</f>
        <v>322252148</v>
      </c>
      <c r="F4" s="233">
        <f>E4-C4</f>
        <v>15493466</v>
      </c>
    </row>
    <row r="5" spans="1:6" ht="28.8">
      <c r="B5" s="234" t="str">
        <f>'Clinical Mission Specifics'!A5</f>
        <v>Number of Texas Patient Encounters in trauma, primary care, diabetes, heart, psychiatry, and telemedicine</v>
      </c>
      <c r="C5" s="235">
        <v>861825</v>
      </c>
      <c r="D5" s="228"/>
      <c r="E5" s="235">
        <f>'Clinical Mission Specifics'!F5</f>
        <v>1069275</v>
      </c>
      <c r="F5" s="235">
        <f>E5-C5</f>
        <v>207450</v>
      </c>
    </row>
    <row r="6" spans="1:6">
      <c r="C6" s="233"/>
      <c r="D6" s="228"/>
      <c r="E6" s="233"/>
      <c r="F6" s="233"/>
    </row>
    <row r="7" spans="1:6">
      <c r="A7" s="227">
        <v>2</v>
      </c>
      <c r="B7" s="227" t="s">
        <v>24</v>
      </c>
      <c r="C7" s="233">
        <f>'Clinical Mission Specifics'!D8</f>
        <v>280815980</v>
      </c>
      <c r="D7" s="228"/>
      <c r="E7" s="233">
        <f>'Clinical Mission Specifics'!J8</f>
        <v>294999156</v>
      </c>
      <c r="F7" s="233">
        <f>E7-C7</f>
        <v>14183176</v>
      </c>
    </row>
    <row r="8" spans="1:6" ht="14.4">
      <c r="B8" s="236" t="str">
        <f>'Clinical Mission Specifics'!A8</f>
        <v>Number of Texas Cancer Patients Served</v>
      </c>
      <c r="C8" s="235">
        <v>84720</v>
      </c>
      <c r="D8" s="228"/>
      <c r="E8" s="235">
        <f>'Clinical Mission Specifics'!F8</f>
        <v>91459</v>
      </c>
      <c r="F8" s="235">
        <f>E8-C8</f>
        <v>6739</v>
      </c>
    </row>
    <row r="9" spans="1:6">
      <c r="C9" s="233"/>
      <c r="D9" s="228"/>
      <c r="E9" s="233"/>
      <c r="F9" s="233"/>
    </row>
    <row r="10" spans="1:6">
      <c r="A10" s="227">
        <v>3</v>
      </c>
      <c r="B10" s="227" t="s">
        <v>85</v>
      </c>
      <c r="C10" s="233">
        <f>'Clinical Mission Specifics'!D11</f>
        <v>62181804</v>
      </c>
      <c r="D10" s="228"/>
      <c r="E10" s="233">
        <f>'Clinical Mission Specifics'!J11</f>
        <v>65322421</v>
      </c>
      <c r="F10" s="233">
        <f>E10-C10</f>
        <v>3140617</v>
      </c>
    </row>
    <row r="11" spans="1:6" ht="14.4">
      <c r="B11" s="236" t="str">
        <f>'Clinical Mission Specifics'!A11</f>
        <v>Number of cases w/disease diagnoses treated by UTHSCT</v>
      </c>
      <c r="C11" s="235">
        <v>187001</v>
      </c>
      <c r="D11" s="228"/>
      <c r="E11" s="235">
        <f>'Clinical Mission Specifics'!F11</f>
        <v>322504</v>
      </c>
      <c r="F11" s="235">
        <f>E11-C11</f>
        <v>135503</v>
      </c>
    </row>
    <row r="12" spans="1:6">
      <c r="C12" s="233"/>
      <c r="D12" s="228"/>
      <c r="E12" s="233"/>
      <c r="F12" s="233"/>
    </row>
    <row r="13" spans="1:6">
      <c r="A13" s="227">
        <v>4</v>
      </c>
      <c r="B13" s="227" t="s">
        <v>12</v>
      </c>
      <c r="C13" s="233">
        <f>'Clinical Mission Specifics'!D14</f>
        <v>27500000</v>
      </c>
      <c r="D13" s="228"/>
      <c r="E13" s="233">
        <f>'Clinical Mission Specifics'!J14</f>
        <v>28888943</v>
      </c>
      <c r="F13" s="233">
        <f>E13-C13</f>
        <v>1388943</v>
      </c>
    </row>
    <row r="14" spans="1:6" ht="14.4">
      <c r="B14" s="236" t="str">
        <f>'Clinical Mission Specifics'!A14</f>
        <v>Number of Texas Patient Encounters *</v>
      </c>
      <c r="C14" s="235">
        <v>599846</v>
      </c>
      <c r="D14" s="228"/>
      <c r="E14" s="235">
        <f>'Clinical Mission Specifics'!F14</f>
        <v>677698</v>
      </c>
      <c r="F14" s="235">
        <f>E14-C14</f>
        <v>77852</v>
      </c>
    </row>
    <row r="15" spans="1:6" ht="14.4">
      <c r="B15" s="236"/>
      <c r="C15" s="235"/>
      <c r="D15" s="228"/>
      <c r="E15" s="233"/>
    </row>
    <row r="16" spans="1:6" s="229" customFormat="1">
      <c r="B16" s="237" t="s">
        <v>130</v>
      </c>
      <c r="C16" s="238">
        <f>C4+C7+C10+C13</f>
        <v>677256466</v>
      </c>
      <c r="D16" s="239"/>
      <c r="E16" s="238">
        <f>E4+E7+E10+E13</f>
        <v>711462668</v>
      </c>
      <c r="F16" s="238">
        <f>F4+F7+F10+F13</f>
        <v>34206202</v>
      </c>
    </row>
    <row r="17" spans="1:6">
      <c r="D17" s="228"/>
      <c r="E17" s="233"/>
    </row>
    <row r="18" spans="1:6" ht="27.6">
      <c r="B18" s="942" t="s">
        <v>131</v>
      </c>
      <c r="C18" s="230" t="s">
        <v>820</v>
      </c>
      <c r="D18" s="231"/>
      <c r="E18" s="230" t="s">
        <v>821</v>
      </c>
      <c r="F18" s="232" t="s">
        <v>129</v>
      </c>
    </row>
    <row r="19" spans="1:6">
      <c r="C19" s="233"/>
      <c r="D19" s="228"/>
      <c r="E19" s="233"/>
    </row>
    <row r="20" spans="1:6">
      <c r="A20" s="227">
        <v>5</v>
      </c>
      <c r="B20" s="227" t="s">
        <v>23</v>
      </c>
      <c r="C20" s="233">
        <f>'Performance-Based Research Ops'!M3</f>
        <v>114849889</v>
      </c>
      <c r="D20" s="228"/>
      <c r="E20" s="233">
        <f>'Performance-Based Research Ops'!AP17</f>
        <v>130840155</v>
      </c>
      <c r="F20" s="233">
        <f t="shared" ref="F20:F25" si="0">E20-C20</f>
        <v>15990266</v>
      </c>
    </row>
    <row r="21" spans="1:6">
      <c r="A21" s="227">
        <v>6</v>
      </c>
      <c r="B21" s="227" t="s">
        <v>5</v>
      </c>
      <c r="C21" s="233">
        <f>'Performance-Based Research Ops'!M22</f>
        <v>25476160</v>
      </c>
      <c r="D21" s="228"/>
      <c r="E21" s="233">
        <f>'Performance-Based Research Ops'!AP34</f>
        <v>42949947</v>
      </c>
      <c r="F21" s="233">
        <f t="shared" si="0"/>
        <v>17473787</v>
      </c>
    </row>
    <row r="22" spans="1:6">
      <c r="A22" s="227">
        <v>7</v>
      </c>
      <c r="B22" s="227" t="s">
        <v>6</v>
      </c>
      <c r="C22" s="233">
        <f>'Performance-Based Research Ops'!M39</f>
        <v>25448000</v>
      </c>
      <c r="D22" s="228"/>
      <c r="E22" s="233">
        <f>'Performance-Based Research Ops'!AP51</f>
        <v>38515512</v>
      </c>
      <c r="F22" s="233">
        <f t="shared" si="0"/>
        <v>13067512</v>
      </c>
    </row>
    <row r="23" spans="1:6">
      <c r="A23" s="227">
        <v>8</v>
      </c>
      <c r="B23" s="227" t="s">
        <v>132</v>
      </c>
      <c r="C23" s="233">
        <f>'New Performance-Based Research'!M3</f>
        <v>24500000</v>
      </c>
      <c r="D23" s="228"/>
      <c r="E23" s="233">
        <f>'New Performance-Based Research'!AP15</f>
        <v>37467052</v>
      </c>
      <c r="F23" s="233">
        <f t="shared" si="0"/>
        <v>12967052</v>
      </c>
    </row>
    <row r="24" spans="1:6">
      <c r="A24" s="227">
        <v>9</v>
      </c>
      <c r="B24" s="227" t="s">
        <v>133</v>
      </c>
      <c r="C24" s="233">
        <f>'New Performance-Based Research'!M21</f>
        <v>20691695</v>
      </c>
      <c r="D24" s="228"/>
      <c r="E24" s="233">
        <f>'New Performance-Based Research'!AP33</f>
        <v>29295636</v>
      </c>
      <c r="F24" s="233">
        <f t="shared" si="0"/>
        <v>8603941</v>
      </c>
    </row>
    <row r="25" spans="1:6">
      <c r="A25" s="227">
        <v>10</v>
      </c>
      <c r="B25" s="227" t="s">
        <v>134</v>
      </c>
      <c r="C25" s="233">
        <f>'New Performance-Based Research'!M38</f>
        <v>3160628</v>
      </c>
      <c r="D25" s="228"/>
      <c r="E25" s="233">
        <f>'New Performance-Based Research'!AP50</f>
        <v>3852087</v>
      </c>
      <c r="F25" s="233">
        <f t="shared" si="0"/>
        <v>691459</v>
      </c>
    </row>
    <row r="26" spans="1:6">
      <c r="C26" s="233"/>
      <c r="D26" s="228"/>
      <c r="E26" s="233"/>
    </row>
    <row r="27" spans="1:6" s="229" customFormat="1">
      <c r="B27" s="237" t="s">
        <v>135</v>
      </c>
      <c r="C27" s="238">
        <f>SUM(C20:C25)</f>
        <v>214126372</v>
      </c>
      <c r="D27" s="239"/>
      <c r="E27" s="238">
        <f>SUM(E20:E25)</f>
        <v>282920389</v>
      </c>
      <c r="F27" s="238">
        <f>SUM(F20:F25)</f>
        <v>68794017</v>
      </c>
    </row>
    <row r="28" spans="1:6" s="229" customFormat="1">
      <c r="B28" s="237"/>
      <c r="C28" s="238"/>
      <c r="D28" s="239"/>
      <c r="E28" s="238"/>
      <c r="F28" s="238"/>
    </row>
    <row r="29" spans="1:6" s="229" customFormat="1">
      <c r="B29" s="229" t="s">
        <v>136</v>
      </c>
      <c r="C29" s="238">
        <f>C16+C27</f>
        <v>891382838</v>
      </c>
      <c r="D29" s="239"/>
      <c r="E29" s="238">
        <f>E16+E27</f>
        <v>994383057</v>
      </c>
      <c r="F29" s="238">
        <f>F16+F27</f>
        <v>103000219</v>
      </c>
    </row>
    <row r="30" spans="1:6" s="229" customFormat="1">
      <c r="C30" s="238"/>
      <c r="D30" s="239"/>
      <c r="E30" s="238"/>
      <c r="F30" s="238"/>
    </row>
    <row r="31" spans="1:6" ht="55.2">
      <c r="C31" s="230" t="s">
        <v>822</v>
      </c>
      <c r="D31" s="228"/>
      <c r="E31" s="230" t="s">
        <v>821</v>
      </c>
      <c r="F31" s="232" t="s">
        <v>129</v>
      </c>
    </row>
    <row r="32" spans="1:6">
      <c r="A32" s="240">
        <v>1</v>
      </c>
      <c r="B32" s="107" t="s">
        <v>3</v>
      </c>
      <c r="C32" s="241">
        <f>C20+15105328</f>
        <v>129955217</v>
      </c>
      <c r="D32" s="242"/>
      <c r="E32" s="241">
        <f>E20</f>
        <v>130840155</v>
      </c>
      <c r="F32" s="241">
        <f>E32-C32</f>
        <v>884938</v>
      </c>
    </row>
    <row r="33" spans="1:6">
      <c r="A33" s="240">
        <v>2</v>
      </c>
      <c r="B33" s="107" t="s">
        <v>4</v>
      </c>
      <c r="C33" s="241">
        <f>C4+8951493</f>
        <v>315710175</v>
      </c>
      <c r="D33" s="242"/>
      <c r="E33" s="241">
        <f>E4</f>
        <v>322252148</v>
      </c>
      <c r="F33" s="241">
        <f t="shared" ref="F33:F40" si="1">E33-C33</f>
        <v>6541973</v>
      </c>
    </row>
    <row r="34" spans="1:6">
      <c r="A34" s="240">
        <v>3</v>
      </c>
      <c r="B34" s="107" t="s">
        <v>5</v>
      </c>
      <c r="C34" s="241">
        <f>C21+7783389</f>
        <v>33259549</v>
      </c>
      <c r="D34" s="242"/>
      <c r="E34" s="241">
        <f>E21</f>
        <v>42949947</v>
      </c>
      <c r="F34" s="241">
        <f t="shared" si="1"/>
        <v>9690398</v>
      </c>
    </row>
    <row r="35" spans="1:6">
      <c r="A35" s="240">
        <v>4</v>
      </c>
      <c r="B35" s="107" t="s">
        <v>6</v>
      </c>
      <c r="C35" s="241">
        <f>C22+7995279</f>
        <v>33443279</v>
      </c>
      <c r="D35" s="242"/>
      <c r="E35" s="241">
        <f>E22</f>
        <v>38515512</v>
      </c>
      <c r="F35" s="241">
        <f t="shared" si="1"/>
        <v>5072233</v>
      </c>
    </row>
    <row r="36" spans="1:6">
      <c r="A36" s="240">
        <v>5</v>
      </c>
      <c r="B36" s="107" t="s">
        <v>62</v>
      </c>
      <c r="C36" s="241">
        <f>C7+8212583</f>
        <v>289028563</v>
      </c>
      <c r="D36" s="242"/>
      <c r="E36" s="241">
        <f>E7</f>
        <v>294999156</v>
      </c>
      <c r="F36" s="241">
        <f t="shared" si="1"/>
        <v>5970593</v>
      </c>
    </row>
    <row r="37" spans="1:6">
      <c r="A37" s="240">
        <v>6</v>
      </c>
      <c r="B37" s="107" t="s">
        <v>8</v>
      </c>
      <c r="C37" s="241">
        <f>C10+1818533</f>
        <v>64000337</v>
      </c>
      <c r="D37" s="242"/>
      <c r="E37" s="241">
        <f>E10</f>
        <v>65322421</v>
      </c>
      <c r="F37" s="241">
        <f t="shared" si="1"/>
        <v>1322084</v>
      </c>
    </row>
    <row r="38" spans="1:6">
      <c r="A38" s="240">
        <v>7</v>
      </c>
      <c r="B38" s="107" t="s">
        <v>9</v>
      </c>
      <c r="C38" s="241">
        <f>C23+12692293</f>
        <v>37192293</v>
      </c>
      <c r="D38" s="242"/>
      <c r="E38" s="241">
        <f>E23</f>
        <v>37467052</v>
      </c>
      <c r="F38" s="241">
        <f t="shared" si="1"/>
        <v>274759</v>
      </c>
    </row>
    <row r="39" spans="1:6">
      <c r="A39" s="240">
        <v>8</v>
      </c>
      <c r="B39" s="107" t="s">
        <v>10</v>
      </c>
      <c r="C39" s="241">
        <f>C24</f>
        <v>20691695</v>
      </c>
      <c r="D39" s="242"/>
      <c r="E39" s="241">
        <f>E24</f>
        <v>29295636</v>
      </c>
      <c r="F39" s="241">
        <f t="shared" si="1"/>
        <v>8603941</v>
      </c>
    </row>
    <row r="40" spans="1:6">
      <c r="A40" s="240">
        <v>9</v>
      </c>
      <c r="B40" s="107" t="s">
        <v>11</v>
      </c>
      <c r="C40" s="241">
        <f>C25+1456457</f>
        <v>4617085</v>
      </c>
      <c r="D40" s="242"/>
      <c r="E40" s="241">
        <f>E25</f>
        <v>3852087</v>
      </c>
      <c r="F40" s="241">
        <f t="shared" si="1"/>
        <v>-764998</v>
      </c>
    </row>
    <row r="41" spans="1:6">
      <c r="A41" s="240">
        <v>10</v>
      </c>
      <c r="B41" s="107" t="s">
        <v>12</v>
      </c>
      <c r="C41" s="241">
        <f>C13+804249</f>
        <v>28304249</v>
      </c>
      <c r="D41" s="242"/>
      <c r="E41" s="241">
        <f>E13</f>
        <v>28888943</v>
      </c>
      <c r="F41" s="241">
        <f>E41-C41</f>
        <v>584694</v>
      </c>
    </row>
    <row r="42" spans="1:6">
      <c r="A42" s="240"/>
      <c r="B42" s="941"/>
      <c r="C42" s="241"/>
      <c r="D42" s="242"/>
      <c r="E42" s="241"/>
      <c r="F42" s="241"/>
    </row>
    <row r="43" spans="1:6">
      <c r="A43" s="243"/>
      <c r="B43" s="244" t="s">
        <v>137</v>
      </c>
      <c r="C43" s="245">
        <f>SUM(C32:C42)</f>
        <v>956202442</v>
      </c>
      <c r="D43" s="246"/>
      <c r="E43" s="245">
        <f>SUM(E32:E42)</f>
        <v>994383057</v>
      </c>
      <c r="F43" s="245">
        <f>SUM(F32:F42)</f>
        <v>38180615</v>
      </c>
    </row>
    <row r="45" spans="1:6">
      <c r="A45" s="227" t="s">
        <v>815</v>
      </c>
    </row>
    <row r="46" spans="1:6">
      <c r="A46" s="227" t="s">
        <v>816</v>
      </c>
      <c r="C46" s="233"/>
      <c r="D46" s="233"/>
      <c r="E46" s="233"/>
    </row>
    <row r="47" spans="1:6">
      <c r="C47" s="233"/>
    </row>
  </sheetData>
  <pageMargins left="0.7" right="0.7" top="0.75" bottom="0.75" header="0.3" footer="0.3"/>
  <pageSetup scale="76" orientation="portrait" r:id="rId1"/>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F15DA-B65E-4024-B5A9-CD862ED1EF6D}">
  <dimension ref="A1:K16"/>
  <sheetViews>
    <sheetView zoomScale="90" zoomScaleNormal="90" workbookViewId="0"/>
  </sheetViews>
  <sheetFormatPr defaultColWidth="9.109375" defaultRowHeight="13.2"/>
  <cols>
    <col min="1" max="1" width="52.88671875" style="249" bestFit="1" customWidth="1"/>
    <col min="2" max="2" width="10.6640625" style="248" bestFit="1" customWidth="1"/>
    <col min="3" max="3" width="11.6640625" style="249" customWidth="1"/>
    <col min="4" max="4" width="20" style="250" bestFit="1" customWidth="1"/>
    <col min="5" max="5" width="5.5546875" style="249" customWidth="1"/>
    <col min="6" max="6" width="10.6640625" style="248" customWidth="1"/>
    <col min="7" max="7" width="13.6640625" style="249" bestFit="1" customWidth="1"/>
    <col min="8" max="8" width="17.6640625" style="249" customWidth="1"/>
    <col min="9" max="9" width="18.109375" style="249" bestFit="1" customWidth="1"/>
    <col min="10" max="10" width="21.88671875" style="249" bestFit="1" customWidth="1"/>
    <col min="11" max="11" width="4.88671875" style="249" customWidth="1"/>
    <col min="12" max="16384" width="9.109375" style="249"/>
  </cols>
  <sheetData>
    <row r="1" spans="1:11">
      <c r="A1" s="247" t="s">
        <v>138</v>
      </c>
      <c r="F1" s="249"/>
    </row>
    <row r="2" spans="1:11" ht="13.8" thickBot="1">
      <c r="H2" s="251" t="s">
        <v>139</v>
      </c>
      <c r="I2" s="252">
        <v>5.0507015825993699E-2</v>
      </c>
    </row>
    <row r="3" spans="1:11" s="247" customFormat="1" ht="39.6">
      <c r="B3" s="253">
        <v>2020</v>
      </c>
      <c r="C3" s="247" t="s">
        <v>21</v>
      </c>
      <c r="D3" s="254" t="s">
        <v>140</v>
      </c>
      <c r="F3" s="253">
        <v>2022</v>
      </c>
      <c r="G3" s="253" t="s">
        <v>21</v>
      </c>
      <c r="H3" s="255" t="s">
        <v>141</v>
      </c>
      <c r="I3" s="247" t="s">
        <v>142</v>
      </c>
      <c r="J3" s="256" t="s">
        <v>143</v>
      </c>
    </row>
    <row r="4" spans="1:11">
      <c r="A4" s="257" t="s">
        <v>4</v>
      </c>
      <c r="J4" s="258"/>
    </row>
    <row r="5" spans="1:11" s="264" customFormat="1" ht="26.4">
      <c r="A5" s="259" t="s">
        <v>144</v>
      </c>
      <c r="B5" s="260">
        <v>861825</v>
      </c>
      <c r="C5" s="261">
        <v>177.97040118353493</v>
      </c>
      <c r="D5" s="261">
        <f>B5*C5*2</f>
        <v>306758682</v>
      </c>
      <c r="E5" s="249"/>
      <c r="F5" s="260">
        <v>1069275</v>
      </c>
      <c r="G5" s="262">
        <v>150.687217</v>
      </c>
      <c r="H5" s="261">
        <f>F5*G5*2</f>
        <v>322252147.91535002</v>
      </c>
      <c r="I5" s="261">
        <f>D5*(1+$I$2)</f>
        <v>322252147.60653496</v>
      </c>
      <c r="J5" s="263">
        <f>ROUND(IF(H5&gt;I5,I5,H5),0)</f>
        <v>322252148</v>
      </c>
    </row>
    <row r="6" spans="1:11">
      <c r="B6" s="265"/>
      <c r="C6" s="250"/>
      <c r="F6" s="265"/>
      <c r="G6" s="250"/>
      <c r="H6" s="250"/>
      <c r="I6" s="250"/>
      <c r="J6" s="266"/>
    </row>
    <row r="7" spans="1:11">
      <c r="A7" s="257" t="s">
        <v>24</v>
      </c>
      <c r="B7" s="265"/>
      <c r="C7" s="250"/>
      <c r="F7" s="265"/>
      <c r="G7" s="250"/>
      <c r="H7" s="250"/>
      <c r="I7" s="250"/>
      <c r="J7" s="266"/>
    </row>
    <row r="8" spans="1:11" s="264" customFormat="1">
      <c r="A8" s="259" t="s">
        <v>145</v>
      </c>
      <c r="B8" s="260">
        <v>84720</v>
      </c>
      <c r="C8" s="261">
        <v>1657.3181067044382</v>
      </c>
      <c r="D8" s="261">
        <f>B8*C8*2</f>
        <v>280815980</v>
      </c>
      <c r="E8" s="249"/>
      <c r="F8" s="260">
        <v>91459</v>
      </c>
      <c r="G8" s="267">
        <v>1612.7398949999999</v>
      </c>
      <c r="H8" s="261">
        <f>F8*G8*2</f>
        <v>294999156.11360997</v>
      </c>
      <c r="I8" s="261">
        <f>D8*(1+$I$2)</f>
        <v>294999157.14605194</v>
      </c>
      <c r="J8" s="263">
        <f>ROUND(IF(H8&gt;I8,I8,H8),0)</f>
        <v>294999156</v>
      </c>
    </row>
    <row r="9" spans="1:11">
      <c r="B9" s="265"/>
      <c r="C9" s="250"/>
      <c r="F9" s="265"/>
      <c r="G9" s="250"/>
      <c r="H9" s="250"/>
      <c r="I9" s="250"/>
      <c r="J9" s="266"/>
    </row>
    <row r="10" spans="1:11">
      <c r="A10" s="257" t="s">
        <v>85</v>
      </c>
      <c r="B10" s="265"/>
      <c r="C10" s="250"/>
      <c r="F10" s="265"/>
      <c r="G10" s="250"/>
      <c r="H10" s="250"/>
      <c r="I10" s="250"/>
      <c r="J10" s="266"/>
    </row>
    <row r="11" spans="1:11" s="264" customFormat="1">
      <c r="A11" s="259" t="s">
        <v>146</v>
      </c>
      <c r="B11" s="260">
        <v>187001</v>
      </c>
      <c r="C11" s="261">
        <v>166.26061892717152</v>
      </c>
      <c r="D11" s="261">
        <f>B11*C11*2</f>
        <v>62181804</v>
      </c>
      <c r="E11" s="249"/>
      <c r="F11" s="260">
        <v>322504</v>
      </c>
      <c r="G11" s="267">
        <v>101.273816</v>
      </c>
      <c r="H11" s="261">
        <f>F11*G11*2</f>
        <v>65322421.510527998</v>
      </c>
      <c r="I11" s="261">
        <f>D11*(1+$I$2)</f>
        <v>65322421.358716838</v>
      </c>
      <c r="J11" s="263">
        <f>ROUND(IF(H11&gt;I11,I11,H11),0)</f>
        <v>65322421</v>
      </c>
    </row>
    <row r="12" spans="1:11">
      <c r="B12" s="265"/>
      <c r="C12" s="250"/>
      <c r="F12" s="265"/>
      <c r="G12" s="250"/>
      <c r="H12" s="250"/>
      <c r="I12" s="250"/>
      <c r="J12" s="266"/>
    </row>
    <row r="13" spans="1:11">
      <c r="A13" s="257" t="s">
        <v>12</v>
      </c>
      <c r="B13" s="265"/>
      <c r="C13" s="250"/>
      <c r="F13" s="265"/>
      <c r="G13" s="250"/>
      <c r="H13" s="250"/>
      <c r="I13" s="250"/>
      <c r="J13" s="266"/>
    </row>
    <row r="14" spans="1:11" s="264" customFormat="1" ht="13.8" thickBot="1">
      <c r="A14" s="259" t="s">
        <v>147</v>
      </c>
      <c r="B14" s="260">
        <v>599846</v>
      </c>
      <c r="C14" s="261">
        <v>22.922550121197773</v>
      </c>
      <c r="D14" s="261">
        <f>B14*C14*2</f>
        <v>27500000</v>
      </c>
      <c r="E14" s="249"/>
      <c r="F14" s="260">
        <v>677698</v>
      </c>
      <c r="G14" s="262">
        <v>21.314024</v>
      </c>
      <c r="H14" s="261">
        <f>F14*G14*2</f>
        <v>28888942.873504002</v>
      </c>
      <c r="I14" s="261">
        <f>D14*(1+$I$2)</f>
        <v>28888942.935214829</v>
      </c>
      <c r="J14" s="268">
        <f>ROUND(IF(H14&gt;I14,I14,H14),0)</f>
        <v>28888943</v>
      </c>
    </row>
    <row r="15" spans="1:11">
      <c r="B15" s="265"/>
      <c r="F15" s="265"/>
      <c r="K15" s="269"/>
    </row>
    <row r="16" spans="1:11">
      <c r="A16" s="249"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363DC-D61D-4F1D-8EF4-CE745894C1FA}">
  <sheetPr>
    <pageSetUpPr fitToPage="1"/>
  </sheetPr>
  <dimension ref="A1:BO54"/>
  <sheetViews>
    <sheetView zoomScale="90" zoomScaleNormal="90" workbookViewId="0"/>
  </sheetViews>
  <sheetFormatPr defaultColWidth="9.109375" defaultRowHeight="13.2"/>
  <cols>
    <col min="1" max="1" width="8.44140625" style="270" customWidth="1"/>
    <col min="2" max="2" width="5.6640625" style="286" bestFit="1" customWidth="1"/>
    <col min="3" max="3" width="15.5546875" style="272" bestFit="1" customWidth="1"/>
    <col min="4" max="4" width="5.88671875" style="270" customWidth="1"/>
    <col min="5" max="5" width="1.88671875" style="270" customWidth="1"/>
    <col min="6" max="6" width="14.5546875" style="272" bestFit="1" customWidth="1"/>
    <col min="7" max="7" width="13.44140625" style="272" bestFit="1" customWidth="1"/>
    <col min="8" max="8" width="5.5546875" style="270" customWidth="1"/>
    <col min="9" max="9" width="14.5546875" style="270" bestFit="1" customWidth="1"/>
    <col min="10" max="10" width="13.44140625" style="270" customWidth="1"/>
    <col min="11" max="11" width="22.109375" style="270" customWidth="1"/>
    <col min="12" max="12" width="13.5546875" style="270" customWidth="1"/>
    <col min="13" max="13" width="14.6640625" style="270" bestFit="1" customWidth="1"/>
    <col min="14" max="14" width="14.33203125" style="270" bestFit="1" customWidth="1"/>
    <col min="15" max="15" width="1.6640625" style="270" customWidth="1"/>
    <col min="16" max="16" width="13.6640625" style="270" bestFit="1" customWidth="1"/>
    <col min="17" max="17" width="1.44140625" style="270" customWidth="1"/>
    <col min="18" max="18" width="6.44140625" style="270" customWidth="1"/>
    <col min="19" max="19" width="12.5546875" style="270" customWidth="1"/>
    <col min="20" max="20" width="5.44140625" style="270" customWidth="1"/>
    <col min="21" max="21" width="11.44140625" style="270" customWidth="1"/>
    <col min="22" max="22" width="3" style="270" customWidth="1"/>
    <col min="23" max="23" width="13.88671875" style="270" customWidth="1"/>
    <col min="24" max="24" width="13.44140625" style="270" customWidth="1"/>
    <col min="25" max="25" width="6.33203125" style="270" customWidth="1"/>
    <col min="26" max="26" width="11.44140625" style="270" customWidth="1"/>
    <col min="27" max="27" width="3" style="270" customWidth="1"/>
    <col min="28" max="28" width="12.44140625" style="270" customWidth="1"/>
    <col min="29" max="29" width="4.44140625" style="270" customWidth="1"/>
    <col min="30" max="30" width="6.6640625" style="270" customWidth="1"/>
    <col min="31" max="31" width="12.44140625" style="270" customWidth="1"/>
    <col min="32" max="32" width="13.88671875" style="270" bestFit="1" customWidth="1"/>
    <col min="33" max="33" width="1.6640625" style="270" customWidth="1"/>
    <col min="34" max="34" width="17" style="270" customWidth="1"/>
    <col min="35" max="35" width="13.44140625" style="270" customWidth="1"/>
    <col min="36" max="36" width="4.5546875" style="270" hidden="1" customWidth="1"/>
    <col min="37" max="37" width="13.109375" style="270" bestFit="1" customWidth="1"/>
    <col min="38" max="38" width="1.44140625" style="270" customWidth="1"/>
    <col min="39" max="39" width="15.88671875" style="273" customWidth="1"/>
    <col min="40" max="40" width="2" style="270" customWidth="1"/>
    <col min="41" max="41" width="13.5546875" style="270" customWidth="1"/>
    <col min="42" max="43" width="14.6640625" style="270" bestFit="1" customWidth="1"/>
    <col min="44" max="44" width="2.44140625" style="270" customWidth="1"/>
    <col min="45" max="46" width="14.6640625" style="270" bestFit="1" customWidth="1"/>
    <col min="47" max="16384" width="9.109375" style="270"/>
  </cols>
  <sheetData>
    <row r="1" spans="1:67" ht="12.75" customHeight="1" thickBot="1">
      <c r="B1" s="271"/>
    </row>
    <row r="2" spans="1:67" ht="35.25" customHeight="1" thickBot="1">
      <c r="A2" s="969" t="s">
        <v>149</v>
      </c>
      <c r="B2" s="970"/>
      <c r="C2" s="970"/>
      <c r="D2" s="970"/>
      <c r="E2" s="970"/>
      <c r="F2" s="970"/>
      <c r="G2" s="970"/>
      <c r="H2" s="970"/>
      <c r="I2" s="970"/>
      <c r="J2" s="970"/>
      <c r="K2" s="971"/>
      <c r="L2" s="274" t="s">
        <v>150</v>
      </c>
      <c r="M2" s="275">
        <v>114849889</v>
      </c>
      <c r="N2" s="276" t="s">
        <v>151</v>
      </c>
    </row>
    <row r="3" spans="1:67" ht="29.25" customHeight="1" thickBot="1">
      <c r="A3" s="972"/>
      <c r="B3" s="973"/>
      <c r="C3" s="973"/>
      <c r="D3" s="973"/>
      <c r="E3" s="973"/>
      <c r="F3" s="973"/>
      <c r="G3" s="973"/>
      <c r="H3" s="973"/>
      <c r="I3" s="973"/>
      <c r="J3" s="973"/>
      <c r="K3" s="974"/>
      <c r="L3" s="277" t="s">
        <v>152</v>
      </c>
      <c r="M3" s="278">
        <v>114849889</v>
      </c>
      <c r="N3" s="279">
        <v>0</v>
      </c>
    </row>
    <row r="4" spans="1:67" ht="16.5" customHeight="1" thickBot="1">
      <c r="B4" s="280"/>
      <c r="C4" s="975" t="s">
        <v>153</v>
      </c>
      <c r="D4" s="976"/>
      <c r="E4" s="976"/>
      <c r="F4" s="976"/>
      <c r="G4" s="976"/>
      <c r="H4" s="976"/>
      <c r="I4" s="281"/>
      <c r="J4" s="282"/>
      <c r="K4" s="979" t="s">
        <v>154</v>
      </c>
      <c r="L4" s="980"/>
      <c r="M4" s="980"/>
      <c r="N4" s="980"/>
      <c r="O4" s="283"/>
      <c r="P4" s="983" t="s">
        <v>155</v>
      </c>
      <c r="Q4" s="984"/>
      <c r="R4" s="984"/>
      <c r="S4" s="984"/>
      <c r="T4" s="984"/>
      <c r="U4" s="984"/>
      <c r="V4" s="984"/>
      <c r="W4" s="984"/>
      <c r="X4" s="984"/>
      <c r="Y4" s="984"/>
      <c r="Z4" s="984"/>
      <c r="AA4" s="984"/>
      <c r="AB4" s="984"/>
      <c r="AC4" s="984"/>
      <c r="AD4" s="984"/>
      <c r="AE4" s="984"/>
      <c r="AF4" s="985"/>
      <c r="AH4" s="986" t="s">
        <v>156</v>
      </c>
      <c r="AI4" s="985"/>
      <c r="AK4" s="1007" t="s">
        <v>157</v>
      </c>
      <c r="AL4" s="1007"/>
      <c r="AM4" s="1007"/>
      <c r="AO4" s="996" t="s">
        <v>158</v>
      </c>
      <c r="AP4" s="996"/>
      <c r="AQ4" s="284">
        <v>302106565</v>
      </c>
      <c r="AR4" s="285"/>
    </row>
    <row r="5" spans="1:67" ht="21" customHeight="1" thickBot="1">
      <c r="C5" s="977"/>
      <c r="D5" s="978"/>
      <c r="E5" s="978"/>
      <c r="F5" s="976"/>
      <c r="G5" s="976"/>
      <c r="H5" s="976"/>
      <c r="I5" s="287"/>
      <c r="J5" s="288"/>
      <c r="K5" s="979"/>
      <c r="L5" s="980"/>
      <c r="M5" s="980"/>
      <c r="N5" s="980"/>
      <c r="O5" s="283"/>
      <c r="P5" s="997" t="s">
        <v>159</v>
      </c>
      <c r="R5" s="999" t="s">
        <v>160</v>
      </c>
      <c r="S5" s="1000"/>
      <c r="T5" s="1000"/>
      <c r="U5" s="1001"/>
      <c r="V5" s="289"/>
      <c r="W5" s="999" t="s">
        <v>161</v>
      </c>
      <c r="X5" s="1000"/>
      <c r="Y5" s="1000"/>
      <c r="Z5" s="1001"/>
      <c r="AA5" s="289"/>
      <c r="AB5" s="999" t="s">
        <v>162</v>
      </c>
      <c r="AC5" s="1000"/>
      <c r="AD5" s="1000"/>
      <c r="AE5" s="1001"/>
      <c r="AF5" s="1002" t="s">
        <v>163</v>
      </c>
      <c r="AH5" s="1004" t="s">
        <v>164</v>
      </c>
      <c r="AI5" s="1004" t="s">
        <v>165</v>
      </c>
      <c r="AK5" s="1007"/>
      <c r="AL5" s="1007"/>
      <c r="AM5" s="1007"/>
      <c r="AO5" s="1006" t="s">
        <v>166</v>
      </c>
      <c r="AP5" s="1006"/>
      <c r="AQ5" s="290">
        <f>'Governor Calculation'!D5</f>
        <v>319805316.82997632</v>
      </c>
      <c r="AS5" s="291"/>
    </row>
    <row r="6" spans="1:67" ht="16.5" customHeight="1" thickBot="1">
      <c r="C6" s="987" t="s">
        <v>167</v>
      </c>
      <c r="D6" s="988"/>
      <c r="E6" s="292"/>
      <c r="F6" s="991" t="s">
        <v>168</v>
      </c>
      <c r="G6" s="992" t="s">
        <v>169</v>
      </c>
      <c r="H6" s="993"/>
      <c r="I6" s="994" t="s">
        <v>170</v>
      </c>
      <c r="J6" s="995"/>
      <c r="K6" s="981"/>
      <c r="L6" s="982"/>
      <c r="M6" s="982"/>
      <c r="N6" s="982"/>
      <c r="O6" s="283"/>
      <c r="P6" s="998"/>
      <c r="R6" s="999" t="s">
        <v>171</v>
      </c>
      <c r="S6" s="1000"/>
      <c r="T6" s="1000"/>
      <c r="U6" s="1001"/>
      <c r="V6" s="289"/>
      <c r="W6" s="999" t="s">
        <v>172</v>
      </c>
      <c r="X6" s="1000"/>
      <c r="Y6" s="1000"/>
      <c r="Z6" s="1001"/>
      <c r="AA6" s="289"/>
      <c r="AB6" s="999" t="s">
        <v>173</v>
      </c>
      <c r="AC6" s="1000"/>
      <c r="AD6" s="1000"/>
      <c r="AE6" s="1001"/>
      <c r="AF6" s="1002"/>
      <c r="AH6" s="1004"/>
      <c r="AI6" s="1004"/>
      <c r="AK6" s="1007"/>
      <c r="AL6" s="1007"/>
      <c r="AM6" s="1007"/>
      <c r="AS6" s="1008" t="s">
        <v>174</v>
      </c>
      <c r="AT6" s="1008"/>
    </row>
    <row r="7" spans="1:67" ht="40.5" customHeight="1" thickBot="1">
      <c r="A7" s="293" t="s">
        <v>175</v>
      </c>
      <c r="B7" s="294" t="s">
        <v>176</v>
      </c>
      <c r="C7" s="989"/>
      <c r="D7" s="990"/>
      <c r="E7" s="295"/>
      <c r="F7" s="991"/>
      <c r="G7" s="992"/>
      <c r="H7" s="993"/>
      <c r="I7" s="296" t="s">
        <v>177</v>
      </c>
      <c r="J7" s="297" t="s">
        <v>178</v>
      </c>
      <c r="K7" s="298" t="s">
        <v>179</v>
      </c>
      <c r="L7" s="299" t="s">
        <v>180</v>
      </c>
      <c r="M7" s="299" t="s">
        <v>181</v>
      </c>
      <c r="N7" s="300" t="s">
        <v>182</v>
      </c>
      <c r="O7" s="283"/>
      <c r="P7" s="998"/>
      <c r="R7" s="301" t="s">
        <v>183</v>
      </c>
      <c r="S7" s="302" t="s">
        <v>184</v>
      </c>
      <c r="T7" s="303" t="s">
        <v>185</v>
      </c>
      <c r="U7" s="304" t="s">
        <v>186</v>
      </c>
      <c r="V7" s="305"/>
      <c r="W7" s="301" t="s">
        <v>183</v>
      </c>
      <c r="X7" s="302" t="s">
        <v>184</v>
      </c>
      <c r="Y7" s="303" t="s">
        <v>185</v>
      </c>
      <c r="Z7" s="304" t="s">
        <v>186</v>
      </c>
      <c r="AA7" s="305"/>
      <c r="AB7" s="301" t="s">
        <v>183</v>
      </c>
      <c r="AC7" s="302" t="s">
        <v>184</v>
      </c>
      <c r="AD7" s="303" t="s">
        <v>185</v>
      </c>
      <c r="AE7" s="304" t="s">
        <v>186</v>
      </c>
      <c r="AF7" s="1002"/>
      <c r="AH7" s="1004"/>
      <c r="AI7" s="1004"/>
      <c r="AK7" s="1009" t="s">
        <v>187</v>
      </c>
      <c r="AL7" s="306"/>
      <c r="AM7" s="1010" t="s">
        <v>188</v>
      </c>
      <c r="AO7" s="307" t="s">
        <v>189</v>
      </c>
      <c r="AP7" s="307" t="s">
        <v>190</v>
      </c>
      <c r="AQ7" s="307" t="s">
        <v>191</v>
      </c>
      <c r="AS7" s="1008" t="s">
        <v>192</v>
      </c>
      <c r="AT7" s="1008"/>
    </row>
    <row r="8" spans="1:67" ht="13.8" thickBot="1">
      <c r="A8" s="1011"/>
      <c r="B8" s="1012"/>
      <c r="C8" s="308"/>
      <c r="D8" s="309" t="s">
        <v>193</v>
      </c>
      <c r="E8" s="310"/>
      <c r="F8" s="311"/>
      <c r="G8" s="311" t="s">
        <v>194</v>
      </c>
      <c r="H8" s="310" t="s">
        <v>193</v>
      </c>
      <c r="I8" s="312"/>
      <c r="J8" s="313"/>
      <c r="K8" s="314"/>
      <c r="L8" s="315"/>
      <c r="M8" s="295"/>
      <c r="N8" s="316"/>
      <c r="O8" s="283"/>
      <c r="P8" s="317"/>
      <c r="Q8" s="295"/>
      <c r="R8" s="318">
        <v>0</v>
      </c>
      <c r="S8" s="318">
        <v>10000000</v>
      </c>
      <c r="T8" s="319">
        <v>0.25</v>
      </c>
      <c r="U8" s="320"/>
      <c r="V8" s="321"/>
      <c r="W8" s="318">
        <v>10000000</v>
      </c>
      <c r="X8" s="318">
        <v>20000000</v>
      </c>
      <c r="Y8" s="319">
        <v>0.5</v>
      </c>
      <c r="Z8" s="322"/>
      <c r="AA8" s="321"/>
      <c r="AB8" s="318">
        <v>20000000</v>
      </c>
      <c r="AC8" s="318" t="s">
        <v>120</v>
      </c>
      <c r="AD8" s="319">
        <v>0.75</v>
      </c>
      <c r="AE8" s="322"/>
      <c r="AF8" s="1003"/>
      <c r="AH8" s="1005"/>
      <c r="AI8" s="1005"/>
      <c r="AK8" s="1009"/>
      <c r="AM8" s="1010"/>
    </row>
    <row r="9" spans="1:67" s="323" customFormat="1">
      <c r="A9" s="323" t="s">
        <v>195</v>
      </c>
      <c r="B9" s="324">
        <v>2014</v>
      </c>
      <c r="C9" s="325">
        <v>378611800.09999996</v>
      </c>
      <c r="D9" s="326" t="s">
        <v>120</v>
      </c>
      <c r="E9" s="327"/>
      <c r="F9" s="328" t="s">
        <v>120</v>
      </c>
      <c r="G9" s="328" t="s">
        <v>120</v>
      </c>
      <c r="H9" s="327"/>
      <c r="I9" s="329" t="s">
        <v>120</v>
      </c>
      <c r="J9" s="329" t="s">
        <v>120</v>
      </c>
      <c r="K9" s="330" t="s">
        <v>120</v>
      </c>
      <c r="L9" s="330" t="s">
        <v>120</v>
      </c>
      <c r="M9" s="330" t="s">
        <v>120</v>
      </c>
      <c r="N9" s="330" t="s">
        <v>120</v>
      </c>
      <c r="AM9" s="331"/>
      <c r="AU9" s="270"/>
      <c r="AV9" s="270"/>
      <c r="AW9" s="270"/>
      <c r="AX9" s="270"/>
      <c r="AY9" s="270"/>
      <c r="AZ9" s="270"/>
      <c r="BA9" s="270"/>
      <c r="BB9" s="270"/>
      <c r="BC9" s="270"/>
      <c r="BD9" s="270"/>
      <c r="BE9" s="270"/>
      <c r="BF9" s="270"/>
      <c r="BG9" s="270"/>
      <c r="BH9" s="270"/>
      <c r="BI9" s="270"/>
      <c r="BJ9" s="270"/>
      <c r="BK9" s="270"/>
      <c r="BL9" s="270"/>
      <c r="BM9" s="270"/>
      <c r="BN9" s="270"/>
      <c r="BO9" s="270"/>
    </row>
    <row r="10" spans="1:67">
      <c r="B10" s="286">
        <v>2015</v>
      </c>
      <c r="C10" s="325">
        <v>386042260.61000019</v>
      </c>
      <c r="D10" s="332">
        <f t="shared" ref="D10:D16" si="0">C10/C9-1</f>
        <v>1.9625538633602169E-2</v>
      </c>
      <c r="E10" s="333"/>
      <c r="H10" s="333"/>
      <c r="I10" s="334"/>
      <c r="J10" s="334"/>
      <c r="Q10" s="289"/>
      <c r="W10" s="335"/>
    </row>
    <row r="11" spans="1:67" s="323" customFormat="1">
      <c r="A11" s="323" t="s">
        <v>196</v>
      </c>
      <c r="B11" s="324">
        <v>2016</v>
      </c>
      <c r="C11" s="325">
        <v>394628780</v>
      </c>
      <c r="D11" s="336">
        <f t="shared" si="0"/>
        <v>2.2242433707729159E-2</v>
      </c>
      <c r="E11" s="337"/>
      <c r="F11" s="338">
        <f>AVERAGE(C9:C11)</f>
        <v>386427613.56999999</v>
      </c>
      <c r="G11" s="339" t="s">
        <v>120</v>
      </c>
      <c r="H11" s="337"/>
      <c r="I11" s="340">
        <f>AVERAGE(C10:C11)</f>
        <v>390335520.30500007</v>
      </c>
      <c r="J11" s="341" t="s">
        <v>120</v>
      </c>
      <c r="K11" s="330" t="s">
        <v>120</v>
      </c>
      <c r="L11" s="330" t="s">
        <v>120</v>
      </c>
      <c r="M11" s="330" t="s">
        <v>120</v>
      </c>
      <c r="N11" s="330" t="s">
        <v>120</v>
      </c>
      <c r="AM11" s="331"/>
      <c r="AU11" s="270"/>
      <c r="AV11" s="270"/>
      <c r="AW11" s="270"/>
      <c r="AX11" s="270"/>
      <c r="AY11" s="270"/>
      <c r="AZ11" s="270"/>
      <c r="BA11" s="270"/>
      <c r="BB11" s="270"/>
      <c r="BC11" s="270"/>
      <c r="BD11" s="270"/>
      <c r="BE11" s="270"/>
      <c r="BF11" s="270"/>
      <c r="BG11" s="270"/>
      <c r="BH11" s="270"/>
      <c r="BI11" s="270"/>
      <c r="BJ11" s="270"/>
      <c r="BK11" s="270"/>
      <c r="BL11" s="270"/>
      <c r="BM11" s="270"/>
      <c r="BN11" s="270"/>
      <c r="BO11" s="270"/>
    </row>
    <row r="12" spans="1:67">
      <c r="B12" s="286">
        <v>2017</v>
      </c>
      <c r="C12" s="325">
        <v>418388441</v>
      </c>
      <c r="D12" s="332">
        <f t="shared" si="0"/>
        <v>6.0207623478449879E-2</v>
      </c>
      <c r="E12" s="333"/>
      <c r="H12" s="333"/>
      <c r="I12" s="333"/>
      <c r="J12" s="333"/>
      <c r="K12" s="342"/>
      <c r="L12" s="342"/>
      <c r="M12" s="342"/>
      <c r="N12" s="342"/>
      <c r="Q12" s="305"/>
      <c r="W12" s="343"/>
      <c r="AS12" s="344">
        <v>2020</v>
      </c>
      <c r="AT12" s="344">
        <v>2021</v>
      </c>
    </row>
    <row r="13" spans="1:67" s="323" customFormat="1">
      <c r="A13" s="323" t="s">
        <v>197</v>
      </c>
      <c r="B13" s="324">
        <v>2018</v>
      </c>
      <c r="C13" s="325">
        <v>432028292</v>
      </c>
      <c r="D13" s="336">
        <f t="shared" si="0"/>
        <v>3.260092694578054E-2</v>
      </c>
      <c r="E13" s="336"/>
      <c r="F13" s="338">
        <f>AVERAGE(C11:C13)</f>
        <v>415015171</v>
      </c>
      <c r="G13" s="338">
        <f>AVERAGE($C11:$C13)-AVERAGE($C9:$C11)</f>
        <v>28587557.430000007</v>
      </c>
      <c r="H13" s="336">
        <f>(SUM($C11:$C13)/SUM($C9:$C11))-1</f>
        <v>7.3979075061159971E-2</v>
      </c>
      <c r="I13" s="340">
        <f>AVERAGE(C12:C13)</f>
        <v>425208366.5</v>
      </c>
      <c r="J13" s="345">
        <f>I13-I11</f>
        <v>34872846.194999933</v>
      </c>
      <c r="K13" s="346">
        <f>L13/F13</f>
        <v>0.12140757379686248</v>
      </c>
      <c r="L13" s="338">
        <v>50385985</v>
      </c>
      <c r="M13" s="338">
        <v>100771970</v>
      </c>
      <c r="N13" s="347" t="s">
        <v>120</v>
      </c>
      <c r="P13" s="348">
        <v>34872846.194999933</v>
      </c>
      <c r="Q13" s="349"/>
      <c r="R13" s="350">
        <f>$R$8</f>
        <v>0</v>
      </c>
      <c r="S13" s="350">
        <f>$S$8</f>
        <v>10000000</v>
      </c>
      <c r="T13" s="351">
        <f>$T$8</f>
        <v>0.25</v>
      </c>
      <c r="U13" s="350">
        <f>IF(P13&gt;=S13,(S13-R13)*T13,MAX((P13-R13)*T13,0))</f>
        <v>2500000</v>
      </c>
      <c r="V13" s="349"/>
      <c r="W13" s="350">
        <f>$W$8</f>
        <v>10000000</v>
      </c>
      <c r="X13" s="350">
        <f>$X$8</f>
        <v>20000000</v>
      </c>
      <c r="Y13" s="351">
        <f>$Y$8</f>
        <v>0.5</v>
      </c>
      <c r="Z13" s="350">
        <f>IF(P13&gt;=X13,(X13-W13)*Y13,MAX((P13-W13)*Y13,0))</f>
        <v>5000000</v>
      </c>
      <c r="AA13" s="349"/>
      <c r="AB13" s="352">
        <f>$AB$8</f>
        <v>20000000</v>
      </c>
      <c r="AC13" s="352" t="str">
        <f>$AC$8</f>
        <v>NA</v>
      </c>
      <c r="AD13" s="351">
        <f>$AD$8</f>
        <v>0.75</v>
      </c>
      <c r="AE13" s="350">
        <f>IF(P13&gt;=AC13,(AC13-AB13)*AD13,MAX((P13-AB13)*AD13,0))</f>
        <v>11154634.64624995</v>
      </c>
      <c r="AF13" s="353">
        <f>U13+Z13+AE13</f>
        <v>18654634.64624995</v>
      </c>
      <c r="AH13" s="354">
        <f>M13+AF13</f>
        <v>119426604.64624995</v>
      </c>
      <c r="AI13" s="354">
        <v>18654634.646249902</v>
      </c>
      <c r="AK13" s="355"/>
      <c r="AM13" s="356">
        <v>14077918.550000001</v>
      </c>
      <c r="AO13" s="355">
        <v>14077918.550000001</v>
      </c>
      <c r="AP13" s="354">
        <f>ROUND(IF((AH13+AO13)&gt;(M13+AM13),(M13+AM13),(AH13+AO13)),0)</f>
        <v>114849889</v>
      </c>
      <c r="AQ13" s="354">
        <v>14077919</v>
      </c>
      <c r="AR13" s="270"/>
      <c r="AS13" s="357">
        <f>AP13/2</f>
        <v>57424944.5</v>
      </c>
      <c r="AT13" s="358">
        <f>AP13-AS13</f>
        <v>57424944.5</v>
      </c>
      <c r="AU13" s="270"/>
      <c r="AV13" s="270"/>
      <c r="AW13" s="270"/>
      <c r="AX13" s="270"/>
      <c r="AY13" s="270"/>
      <c r="AZ13" s="270"/>
      <c r="BA13" s="270"/>
      <c r="BB13" s="270"/>
      <c r="BC13" s="270"/>
      <c r="BD13" s="270"/>
      <c r="BE13" s="270"/>
      <c r="BF13" s="270"/>
      <c r="BG13" s="270"/>
      <c r="BH13" s="270"/>
      <c r="BI13" s="270"/>
      <c r="BJ13" s="270"/>
      <c r="BK13" s="270"/>
      <c r="BL13" s="270"/>
      <c r="BM13" s="270"/>
      <c r="BN13" s="270"/>
      <c r="BO13" s="270"/>
    </row>
    <row r="14" spans="1:67" s="363" customFormat="1">
      <c r="A14" s="359"/>
      <c r="B14" s="286">
        <v>2019</v>
      </c>
      <c r="C14" s="325">
        <v>459169207.88999999</v>
      </c>
      <c r="D14" s="332">
        <f t="shared" si="0"/>
        <v>6.2822079925265673E-2</v>
      </c>
      <c r="E14" s="360"/>
      <c r="F14" s="361"/>
      <c r="G14" s="361"/>
      <c r="H14" s="361"/>
      <c r="I14" s="361"/>
      <c r="J14" s="361"/>
      <c r="K14" s="362"/>
      <c r="M14" s="364"/>
      <c r="P14" s="365"/>
      <c r="Q14" s="305"/>
      <c r="R14" s="366"/>
      <c r="S14" s="366"/>
      <c r="T14" s="367"/>
      <c r="U14" s="366"/>
      <c r="V14" s="305"/>
      <c r="W14" s="366"/>
      <c r="X14" s="366"/>
      <c r="Y14" s="367"/>
      <c r="Z14" s="366"/>
      <c r="AA14" s="305"/>
      <c r="AB14" s="305"/>
      <c r="AC14" s="305"/>
      <c r="AD14" s="367"/>
      <c r="AE14" s="305"/>
      <c r="AF14" s="368"/>
      <c r="AM14" s="369"/>
      <c r="AS14" s="344">
        <v>2022</v>
      </c>
      <c r="AT14" s="344">
        <v>2023</v>
      </c>
    </row>
    <row r="15" spans="1:67" s="323" customFormat="1">
      <c r="A15" s="323" t="s">
        <v>198</v>
      </c>
      <c r="B15" s="324">
        <v>2020</v>
      </c>
      <c r="C15" s="325">
        <v>504517206</v>
      </c>
      <c r="D15" s="336">
        <f t="shared" si="0"/>
        <v>9.876097379958404E-2</v>
      </c>
      <c r="F15" s="338">
        <f>AVERAGE(C13:C15)</f>
        <v>465238235.29666662</v>
      </c>
      <c r="G15" s="338">
        <f>AVERAGE($C13:$C15)-AVERAGE($C11:$C13)</f>
        <v>50223064.296666622</v>
      </c>
      <c r="H15" s="337">
        <f>(SUM($C13:$C15)/SUM($C11:$C13))-1</f>
        <v>0.12101500813970634</v>
      </c>
      <c r="I15" s="340">
        <f>AVERAGE(C14:C15)</f>
        <v>481843206.94499999</v>
      </c>
      <c r="J15" s="345">
        <f>I15-I13</f>
        <v>56634840.444999993</v>
      </c>
      <c r="K15" s="370">
        <f>K13*(1+H15/3)</f>
        <v>0.12630495330727892</v>
      </c>
      <c r="L15" s="338">
        <f>K15*F15</f>
        <v>58761893.585906319</v>
      </c>
      <c r="M15" s="338">
        <f>L15*2</f>
        <v>117523787.17181264</v>
      </c>
      <c r="N15" s="338">
        <f>M15-M13</f>
        <v>16751817.171812639</v>
      </c>
      <c r="P15" s="348">
        <f>J15</f>
        <v>56634840.444999993</v>
      </c>
      <c r="Q15" s="349"/>
      <c r="R15" s="350">
        <f>$R$8</f>
        <v>0</v>
      </c>
      <c r="S15" s="350">
        <f>$S$8</f>
        <v>10000000</v>
      </c>
      <c r="T15" s="351">
        <f>$T$8</f>
        <v>0.25</v>
      </c>
      <c r="U15" s="350">
        <f>IF(P15&gt;=S15,(S15-R15)*T15,MAX((P15-R15)*T15,0))</f>
        <v>2500000</v>
      </c>
      <c r="V15" s="349"/>
      <c r="W15" s="350">
        <f>$W$8</f>
        <v>10000000</v>
      </c>
      <c r="X15" s="350">
        <f>$X$8</f>
        <v>20000000</v>
      </c>
      <c r="Y15" s="351">
        <f>$Y$8</f>
        <v>0.5</v>
      </c>
      <c r="Z15" s="350">
        <f>IF(P15&gt;=X15,(X15-W15)*Y15,MAX((P15-W15)*Y15,0))</f>
        <v>5000000</v>
      </c>
      <c r="AA15" s="349"/>
      <c r="AB15" s="352">
        <f>$AB$8</f>
        <v>20000000</v>
      </c>
      <c r="AC15" s="352" t="str">
        <f>$AC$8</f>
        <v>NA</v>
      </c>
      <c r="AD15" s="351">
        <f>$AD$8</f>
        <v>0.75</v>
      </c>
      <c r="AE15" s="350">
        <f>IF(P15&gt;=AC15,(AC15-AB15)*AD15,MAX((P15-AB15)*AD15,0))</f>
        <v>27476130.333749995</v>
      </c>
      <c r="AF15" s="353">
        <f>U15+Z15+AE15</f>
        <v>34976130.333749995</v>
      </c>
      <c r="AH15" s="354">
        <f>M15+AF15</f>
        <v>152499917.50556263</v>
      </c>
      <c r="AI15" s="354">
        <f>AH15-M2</f>
        <v>37650028.505562633</v>
      </c>
      <c r="AK15" s="371"/>
      <c r="AM15" s="372">
        <f>$AQ$4*5%</f>
        <v>15105328.25</v>
      </c>
      <c r="AO15" s="355">
        <f>IF(AI15&gt;AM15,AM15,AI15)</f>
        <v>15105328.25</v>
      </c>
      <c r="AP15" s="354">
        <f>ROUND(IF(AH15&gt;(M2+0),(M2+0),AH15),0)</f>
        <v>114849889</v>
      </c>
      <c r="AQ15" s="354">
        <f>AP15-M2</f>
        <v>0</v>
      </c>
      <c r="AR15" s="270"/>
      <c r="AS15" s="373">
        <f>AP15/2</f>
        <v>57424944.5</v>
      </c>
      <c r="AT15" s="374">
        <f>AP15-AS15</f>
        <v>57424944.5</v>
      </c>
      <c r="AU15" s="270"/>
      <c r="AV15" s="270"/>
    </row>
    <row r="16" spans="1:67" ht="13.8" thickBot="1">
      <c r="B16" s="286">
        <v>2021</v>
      </c>
      <c r="C16" s="325">
        <v>532730069</v>
      </c>
      <c r="D16" s="332">
        <f t="shared" si="0"/>
        <v>5.5920517010078052E-2</v>
      </c>
      <c r="H16" s="333"/>
      <c r="I16" s="375"/>
      <c r="J16" s="285"/>
      <c r="K16" s="376"/>
      <c r="L16" s="272"/>
      <c r="M16" s="272"/>
      <c r="N16" s="272"/>
      <c r="P16" s="377"/>
      <c r="Q16" s="305"/>
      <c r="R16" s="366"/>
      <c r="S16" s="366"/>
      <c r="T16" s="367"/>
      <c r="U16" s="366"/>
      <c r="V16" s="305"/>
      <c r="W16" s="366"/>
      <c r="X16" s="366"/>
      <c r="Y16" s="367"/>
      <c r="Z16" s="366"/>
      <c r="AA16" s="305"/>
      <c r="AB16" s="378"/>
      <c r="AC16" s="378"/>
      <c r="AD16" s="367"/>
      <c r="AE16" s="366"/>
      <c r="AF16" s="368"/>
      <c r="AH16" s="342"/>
      <c r="AI16" s="342"/>
      <c r="AK16" s="364"/>
      <c r="AM16" s="379"/>
      <c r="AO16" s="285"/>
      <c r="AP16" s="380"/>
      <c r="AQ16" s="342"/>
      <c r="AS16" s="344">
        <v>2024</v>
      </c>
      <c r="AT16" s="344">
        <v>2025</v>
      </c>
    </row>
    <row r="17" spans="1:48" s="323" customFormat="1" ht="13.8" thickBot="1">
      <c r="A17" s="323" t="s">
        <v>199</v>
      </c>
      <c r="B17" s="324">
        <v>2022</v>
      </c>
      <c r="C17" s="325">
        <v>597944438</v>
      </c>
      <c r="D17" s="336">
        <f>C17/C16-1</f>
        <v>0.12241540846833643</v>
      </c>
      <c r="F17" s="338">
        <f>AVERAGE(C15:C17)</f>
        <v>545063904.33333337</v>
      </c>
      <c r="G17" s="338">
        <f>AVERAGE($C15:$C17)-AVERAGE($C13:$C15)</f>
        <v>79825669.036666751</v>
      </c>
      <c r="H17" s="337">
        <f>(SUM($C15:$C17)/SUM($C13:$C15))-1</f>
        <v>0.17158019909039623</v>
      </c>
      <c r="I17" s="340">
        <f>AVERAGE(C16:C17)</f>
        <v>565337253.5</v>
      </c>
      <c r="J17" s="345">
        <f>I17-I15</f>
        <v>83494046.555000007</v>
      </c>
      <c r="K17" s="381">
        <f>K15*(1+H17/3)</f>
        <v>0.13352876298546765</v>
      </c>
      <c r="L17" s="338">
        <f>K17*F17</f>
        <v>72781708.893659279</v>
      </c>
      <c r="M17" s="338">
        <f>L17*2</f>
        <v>145563417.78731856</v>
      </c>
      <c r="N17" s="338">
        <f>M17-M15</f>
        <v>28039630.615505919</v>
      </c>
      <c r="P17" s="348">
        <f>J17</f>
        <v>83494046.555000007</v>
      </c>
      <c r="Q17" s="349"/>
      <c r="R17" s="350">
        <f>$R$8</f>
        <v>0</v>
      </c>
      <c r="S17" s="350">
        <f>$S$8</f>
        <v>10000000</v>
      </c>
      <c r="T17" s="351">
        <f>$T$8</f>
        <v>0.25</v>
      </c>
      <c r="U17" s="350">
        <f>IF(P17&gt;=S17,(S17-R17)*T17,MAX((P17-R17)*T17,0))</f>
        <v>2500000</v>
      </c>
      <c r="V17" s="349"/>
      <c r="W17" s="350">
        <f>$W$8</f>
        <v>10000000</v>
      </c>
      <c r="X17" s="350">
        <f>$X$8</f>
        <v>20000000</v>
      </c>
      <c r="Y17" s="351">
        <f>$Y$8</f>
        <v>0.5</v>
      </c>
      <c r="Z17" s="350">
        <f>IF(P17&gt;=X17,(X17-W17)*Y17,MAX((P17-W17)*Y17,0))</f>
        <v>5000000</v>
      </c>
      <c r="AA17" s="349"/>
      <c r="AB17" s="352">
        <f>$AB$8</f>
        <v>20000000</v>
      </c>
      <c r="AC17" s="352" t="str">
        <f>$AC$8</f>
        <v>NA</v>
      </c>
      <c r="AD17" s="351">
        <f>$AD$8</f>
        <v>0.75</v>
      </c>
      <c r="AE17" s="350">
        <f>IF(P17&gt;=AC17,(AC17-AB17)*AD17,MAX((P17-AB17)*AD17,0))</f>
        <v>47620534.916250005</v>
      </c>
      <c r="AF17" s="353">
        <f>U17+Z17+AE17</f>
        <v>55120534.916250005</v>
      </c>
      <c r="AH17" s="354">
        <f>M17+AF17</f>
        <v>200683952.70356858</v>
      </c>
      <c r="AI17" s="354">
        <f>AH17-M3</f>
        <v>85834063.703568578</v>
      </c>
      <c r="AK17" s="371"/>
      <c r="AM17" s="372">
        <f>$AQ$5*5%</f>
        <v>15990265.841498816</v>
      </c>
      <c r="AO17" s="355">
        <f>IF(AI17&gt;AM17,AM17,AI17)</f>
        <v>15990265.841498816</v>
      </c>
      <c r="AP17" s="382">
        <f>ROUND(IF(AH17&gt;(M3+AM17),(M3+AM17),AH17),0)</f>
        <v>130840155</v>
      </c>
      <c r="AQ17" s="354">
        <f>AP17-M3</f>
        <v>15990266</v>
      </c>
      <c r="AR17" s="270"/>
      <c r="AS17" s="383">
        <v>65420077</v>
      </c>
      <c r="AT17" s="384">
        <f>AP17-AS17</f>
        <v>65420078</v>
      </c>
      <c r="AU17" s="270"/>
      <c r="AV17" s="270"/>
    </row>
    <row r="18" spans="1:48">
      <c r="C18" s="377"/>
      <c r="D18" s="332"/>
      <c r="H18" s="333"/>
      <c r="I18" s="375"/>
      <c r="J18" s="285"/>
      <c r="K18" s="376"/>
      <c r="L18" s="272"/>
      <c r="M18" s="272"/>
      <c r="N18" s="272"/>
      <c r="P18" s="377"/>
      <c r="Q18" s="305"/>
      <c r="R18" s="366"/>
      <c r="S18" s="366"/>
      <c r="T18" s="367"/>
      <c r="U18" s="366"/>
      <c r="V18" s="305"/>
      <c r="W18" s="366"/>
      <c r="X18" s="366"/>
      <c r="Y18" s="367"/>
      <c r="Z18" s="366"/>
      <c r="AA18" s="305"/>
      <c r="AB18" s="378"/>
      <c r="AC18" s="378"/>
      <c r="AD18" s="367"/>
      <c r="AE18" s="366"/>
      <c r="AF18" s="368"/>
      <c r="AH18" s="342"/>
      <c r="AI18" s="342"/>
      <c r="AK18" s="364"/>
      <c r="AM18" s="379"/>
      <c r="AO18" s="285"/>
      <c r="AP18" s="380"/>
      <c r="AQ18" s="342"/>
      <c r="AS18" s="385"/>
      <c r="AT18" s="385"/>
    </row>
    <row r="19" spans="1:48" s="363" customFormat="1">
      <c r="A19" s="363" t="s">
        <v>200</v>
      </c>
      <c r="B19" s="386"/>
      <c r="C19" s="361"/>
      <c r="F19" s="361"/>
      <c r="G19" s="361"/>
      <c r="AM19" s="369"/>
      <c r="AP19" s="364"/>
    </row>
    <row r="20" spans="1:48" s="363" customFormat="1" ht="13.8" thickBot="1">
      <c r="B20" s="386"/>
      <c r="C20" s="361"/>
      <c r="F20" s="361"/>
      <c r="G20" s="361"/>
      <c r="AH20" s="364"/>
      <c r="AM20" s="369"/>
    </row>
    <row r="21" spans="1:48" ht="32.25" customHeight="1" thickBot="1">
      <c r="A21" s="969" t="s">
        <v>201</v>
      </c>
      <c r="B21" s="970"/>
      <c r="C21" s="970"/>
      <c r="D21" s="970"/>
      <c r="E21" s="970"/>
      <c r="F21" s="970"/>
      <c r="G21" s="970"/>
      <c r="H21" s="970"/>
      <c r="I21" s="970"/>
      <c r="J21" s="970"/>
      <c r="K21" s="971"/>
      <c r="L21" s="274" t="s">
        <v>150</v>
      </c>
      <c r="M21" s="275">
        <v>25476159.553881437</v>
      </c>
      <c r="N21" s="387" t="s">
        <v>151</v>
      </c>
      <c r="AO21" s="285"/>
      <c r="AQ21" s="342"/>
    </row>
    <row r="22" spans="1:48" ht="31.5" customHeight="1" thickBot="1">
      <c r="A22" s="972"/>
      <c r="B22" s="973"/>
      <c r="C22" s="973"/>
      <c r="D22" s="973"/>
      <c r="E22" s="973"/>
      <c r="F22" s="973"/>
      <c r="G22" s="973"/>
      <c r="H22" s="973"/>
      <c r="I22" s="973"/>
      <c r="J22" s="973"/>
      <c r="K22" s="974"/>
      <c r="L22" s="277" t="s">
        <v>152</v>
      </c>
      <c r="M22" s="278">
        <v>25476160</v>
      </c>
      <c r="N22" s="388">
        <v>0.44611856341362</v>
      </c>
    </row>
    <row r="23" spans="1:48" ht="13.5" customHeight="1" thickBot="1">
      <c r="B23" s="280"/>
      <c r="C23" s="975" t="s">
        <v>153</v>
      </c>
      <c r="D23" s="976"/>
      <c r="E23" s="976"/>
      <c r="F23" s="976"/>
      <c r="G23" s="976"/>
      <c r="H23" s="1013"/>
      <c r="I23" s="281"/>
      <c r="J23" s="282"/>
      <c r="K23" s="979" t="s">
        <v>154</v>
      </c>
      <c r="L23" s="980"/>
      <c r="M23" s="980"/>
      <c r="N23" s="1015"/>
      <c r="P23" s="983" t="s">
        <v>155</v>
      </c>
      <c r="Q23" s="984"/>
      <c r="R23" s="984"/>
      <c r="S23" s="984"/>
      <c r="T23" s="984"/>
      <c r="U23" s="984"/>
      <c r="V23" s="984"/>
      <c r="W23" s="984"/>
      <c r="X23" s="984"/>
      <c r="Y23" s="984"/>
      <c r="Z23" s="984"/>
      <c r="AA23" s="984"/>
      <c r="AB23" s="984"/>
      <c r="AC23" s="984"/>
      <c r="AD23" s="984"/>
      <c r="AE23" s="984"/>
      <c r="AF23" s="985"/>
      <c r="AH23" s="986" t="s">
        <v>156</v>
      </c>
      <c r="AI23" s="985"/>
      <c r="AK23" s="1007" t="s">
        <v>157</v>
      </c>
      <c r="AL23" s="1007"/>
      <c r="AM23" s="1007"/>
      <c r="AO23" s="1027" t="s">
        <v>158</v>
      </c>
      <c r="AP23" s="1027"/>
      <c r="AQ23" s="284">
        <v>339062421</v>
      </c>
    </row>
    <row r="24" spans="1:48" ht="13.5" customHeight="1" thickBot="1">
      <c r="C24" s="977"/>
      <c r="D24" s="978"/>
      <c r="E24" s="978"/>
      <c r="F24" s="978"/>
      <c r="G24" s="978"/>
      <c r="H24" s="1014"/>
      <c r="I24" s="287"/>
      <c r="J24" s="288"/>
      <c r="K24" s="979"/>
      <c r="L24" s="980"/>
      <c r="M24" s="980"/>
      <c r="N24" s="1015"/>
      <c r="P24" s="997" t="s">
        <v>159</v>
      </c>
      <c r="R24" s="999" t="s">
        <v>160</v>
      </c>
      <c r="S24" s="1000"/>
      <c r="T24" s="1000"/>
      <c r="U24" s="1001"/>
      <c r="V24" s="289"/>
      <c r="W24" s="999" t="s">
        <v>161</v>
      </c>
      <c r="X24" s="1000"/>
      <c r="Y24" s="1000"/>
      <c r="Z24" s="1001"/>
      <c r="AA24" s="289"/>
      <c r="AB24" s="999" t="s">
        <v>162</v>
      </c>
      <c r="AC24" s="1000"/>
      <c r="AD24" s="1000"/>
      <c r="AE24" s="1001"/>
      <c r="AF24" s="1002" t="s">
        <v>163</v>
      </c>
      <c r="AH24" s="1004" t="s">
        <v>164</v>
      </c>
      <c r="AI24" s="1004" t="s">
        <v>165</v>
      </c>
      <c r="AK24" s="1007"/>
      <c r="AL24" s="1007"/>
      <c r="AM24" s="1007"/>
      <c r="AO24" s="1028" t="s">
        <v>166</v>
      </c>
      <c r="AP24" s="1028"/>
      <c r="AQ24" s="389">
        <f>'Governor Calculation'!D6</f>
        <v>349475095.76926899</v>
      </c>
      <c r="AR24" s="285"/>
    </row>
    <row r="25" spans="1:48" ht="13.5" customHeight="1" thickBot="1">
      <c r="C25" s="1017" t="s">
        <v>167</v>
      </c>
      <c r="D25" s="1018"/>
      <c r="E25" s="292"/>
      <c r="F25" s="1021" t="s">
        <v>168</v>
      </c>
      <c r="G25" s="1023" t="s">
        <v>151</v>
      </c>
      <c r="H25" s="1024"/>
      <c r="I25" s="994" t="s">
        <v>170</v>
      </c>
      <c r="J25" s="995"/>
      <c r="K25" s="981"/>
      <c r="L25" s="982"/>
      <c r="M25" s="982"/>
      <c r="N25" s="1016"/>
      <c r="P25" s="998"/>
      <c r="R25" s="999" t="s">
        <v>171</v>
      </c>
      <c r="S25" s="1000"/>
      <c r="T25" s="1000"/>
      <c r="U25" s="1001"/>
      <c r="V25" s="289"/>
      <c r="W25" s="999" t="s">
        <v>172</v>
      </c>
      <c r="X25" s="1000"/>
      <c r="Y25" s="1000"/>
      <c r="Z25" s="1001"/>
      <c r="AA25" s="289"/>
      <c r="AB25" s="999" t="s">
        <v>173</v>
      </c>
      <c r="AC25" s="1000"/>
      <c r="AD25" s="1000"/>
      <c r="AE25" s="1001"/>
      <c r="AF25" s="1002"/>
      <c r="AH25" s="1004"/>
      <c r="AI25" s="1004"/>
      <c r="AK25" s="1007"/>
      <c r="AL25" s="1007"/>
      <c r="AM25" s="1007"/>
      <c r="AS25" s="1008" t="s">
        <v>202</v>
      </c>
      <c r="AT25" s="1008"/>
    </row>
    <row r="26" spans="1:48" ht="43.5" customHeight="1" thickBot="1">
      <c r="A26" s="293" t="s">
        <v>203</v>
      </c>
      <c r="B26" s="294" t="s">
        <v>176</v>
      </c>
      <c r="C26" s="1019"/>
      <c r="D26" s="1020"/>
      <c r="E26" s="295"/>
      <c r="F26" s="1022"/>
      <c r="G26" s="1025"/>
      <c r="H26" s="1026"/>
      <c r="I26" s="296" t="s">
        <v>177</v>
      </c>
      <c r="J26" s="297" t="s">
        <v>151</v>
      </c>
      <c r="K26" s="298" t="s">
        <v>179</v>
      </c>
      <c r="L26" s="299" t="s">
        <v>180</v>
      </c>
      <c r="M26" s="299" t="s">
        <v>181</v>
      </c>
      <c r="N26" s="390" t="s">
        <v>182</v>
      </c>
      <c r="P26" s="998"/>
      <c r="R26" s="301" t="s">
        <v>183</v>
      </c>
      <c r="S26" s="302" t="s">
        <v>184</v>
      </c>
      <c r="T26" s="303" t="s">
        <v>185</v>
      </c>
      <c r="U26" s="304" t="s">
        <v>186</v>
      </c>
      <c r="V26" s="305"/>
      <c r="W26" s="301" t="s">
        <v>183</v>
      </c>
      <c r="X26" s="302" t="s">
        <v>184</v>
      </c>
      <c r="Y26" s="303" t="s">
        <v>185</v>
      </c>
      <c r="Z26" s="304" t="s">
        <v>186</v>
      </c>
      <c r="AA26" s="305"/>
      <c r="AB26" s="301" t="s">
        <v>183</v>
      </c>
      <c r="AC26" s="302" t="s">
        <v>184</v>
      </c>
      <c r="AD26" s="303" t="s">
        <v>185</v>
      </c>
      <c r="AE26" s="304" t="s">
        <v>186</v>
      </c>
      <c r="AF26" s="1002"/>
      <c r="AH26" s="1004"/>
      <c r="AI26" s="1004"/>
      <c r="AK26" s="1009" t="s">
        <v>187</v>
      </c>
      <c r="AL26" s="306"/>
      <c r="AM26" s="1010" t="s">
        <v>188</v>
      </c>
      <c r="AO26" s="307" t="s">
        <v>189</v>
      </c>
      <c r="AP26" s="307" t="s">
        <v>190</v>
      </c>
      <c r="AQ26" s="307" t="s">
        <v>191</v>
      </c>
      <c r="AS26" s="1008" t="s">
        <v>192</v>
      </c>
      <c r="AT26" s="1008"/>
    </row>
    <row r="27" spans="1:48" ht="22.5" customHeight="1" thickBot="1">
      <c r="A27" s="1011"/>
      <c r="B27" s="1012"/>
      <c r="C27" s="391"/>
      <c r="D27" s="309" t="s">
        <v>193</v>
      </c>
      <c r="E27" s="310"/>
      <c r="F27" s="311"/>
      <c r="G27" s="311" t="s">
        <v>194</v>
      </c>
      <c r="H27" s="392" t="s">
        <v>193</v>
      </c>
      <c r="I27" s="312"/>
      <c r="J27" s="313"/>
      <c r="K27" s="314"/>
      <c r="L27" s="315"/>
      <c r="M27" s="295"/>
      <c r="N27" s="393"/>
      <c r="P27" s="317"/>
      <c r="Q27" s="295"/>
      <c r="R27" s="318">
        <v>0</v>
      </c>
      <c r="S27" s="318">
        <v>10000000</v>
      </c>
      <c r="T27" s="319">
        <v>0.25</v>
      </c>
      <c r="U27" s="320"/>
      <c r="V27" s="321"/>
      <c r="W27" s="318">
        <v>10000000</v>
      </c>
      <c r="X27" s="318">
        <v>20000000</v>
      </c>
      <c r="Y27" s="319">
        <v>0.5</v>
      </c>
      <c r="Z27" s="322"/>
      <c r="AA27" s="321"/>
      <c r="AB27" s="318">
        <v>20000000</v>
      </c>
      <c r="AC27" s="318" t="s">
        <v>120</v>
      </c>
      <c r="AD27" s="319">
        <v>0.75</v>
      </c>
      <c r="AE27" s="322"/>
      <c r="AF27" s="1003"/>
      <c r="AH27" s="1005"/>
      <c r="AI27" s="1005"/>
      <c r="AK27" s="1009"/>
      <c r="AM27" s="1010"/>
      <c r="AS27" s="394"/>
      <c r="AT27" s="394"/>
    </row>
    <row r="28" spans="1:48">
      <c r="A28" s="323" t="s">
        <v>196</v>
      </c>
      <c r="B28" s="324">
        <v>2016</v>
      </c>
      <c r="C28" s="325">
        <v>202298701</v>
      </c>
      <c r="D28" s="336">
        <v>-3.8061890961376799E-2</v>
      </c>
      <c r="E28" s="337"/>
      <c r="F28" s="338">
        <v>198452192.33333334</v>
      </c>
      <c r="G28" s="339" t="s">
        <v>120</v>
      </c>
      <c r="H28" s="327" t="s">
        <v>120</v>
      </c>
      <c r="I28" s="395">
        <v>198638596.5</v>
      </c>
      <c r="J28" s="396" t="s">
        <v>120</v>
      </c>
      <c r="K28" s="330" t="s">
        <v>120</v>
      </c>
      <c r="L28" s="330" t="s">
        <v>120</v>
      </c>
      <c r="M28" s="330" t="s">
        <v>120</v>
      </c>
      <c r="N28" s="330" t="s">
        <v>120</v>
      </c>
      <c r="O28" s="323"/>
      <c r="P28" s="323"/>
      <c r="Q28" s="323"/>
      <c r="R28" s="323"/>
      <c r="S28" s="323"/>
      <c r="T28" s="323"/>
      <c r="U28" s="323"/>
      <c r="V28" s="323"/>
      <c r="W28" s="323"/>
      <c r="X28" s="323"/>
      <c r="Y28" s="323"/>
      <c r="Z28" s="323"/>
      <c r="AA28" s="323"/>
      <c r="AB28" s="323"/>
      <c r="AC28" s="323"/>
      <c r="AD28" s="323"/>
      <c r="AE28" s="323"/>
      <c r="AF28" s="323"/>
      <c r="AG28" s="323"/>
      <c r="AH28" s="331"/>
      <c r="AI28" s="331"/>
      <c r="AJ28" s="331"/>
      <c r="AK28" s="331"/>
      <c r="AL28" s="331"/>
      <c r="AM28" s="331"/>
      <c r="AN28" s="323"/>
      <c r="AO28" s="323"/>
      <c r="AP28" s="323"/>
      <c r="AQ28" s="323"/>
      <c r="AR28" s="323"/>
      <c r="AS28" s="323"/>
      <c r="AT28" s="323"/>
    </row>
    <row r="29" spans="1:48">
      <c r="B29" s="286">
        <v>2017</v>
      </c>
      <c r="C29" s="325">
        <v>212962879</v>
      </c>
      <c r="D29" s="332">
        <f t="shared" ref="D29:D34" si="1">C29/C28-1</f>
        <v>5.2715009771614918E-2</v>
      </c>
      <c r="E29" s="333"/>
      <c r="H29" s="333"/>
      <c r="I29" s="334"/>
      <c r="J29" s="334"/>
      <c r="Q29" s="289"/>
      <c r="S29" s="342"/>
      <c r="W29" s="335"/>
      <c r="AS29" s="344">
        <v>2020</v>
      </c>
      <c r="AT29" s="344">
        <v>2021</v>
      </c>
    </row>
    <row r="30" spans="1:48">
      <c r="A30" s="323" t="s">
        <v>197</v>
      </c>
      <c r="B30" s="324">
        <v>2018</v>
      </c>
      <c r="C30" s="325">
        <v>219718590</v>
      </c>
      <c r="D30" s="336">
        <f t="shared" si="1"/>
        <v>3.1722481550411352E-2</v>
      </c>
      <c r="E30" s="337"/>
      <c r="F30" s="338">
        <f>AVERAGE(C28:C30)</f>
        <v>211660056.66666666</v>
      </c>
      <c r="G30" s="339">
        <f>F30-F28</f>
        <v>13207864.333333313</v>
      </c>
      <c r="H30" s="337">
        <f>G30/F28</f>
        <v>6.6554388631537592E-2</v>
      </c>
      <c r="I30" s="340">
        <f>AVERAGE(C29:C30)</f>
        <v>216340734.5</v>
      </c>
      <c r="J30" s="397">
        <f>I30-I28</f>
        <v>17702138</v>
      </c>
      <c r="K30" s="346">
        <v>9.9944279999999996E-2</v>
      </c>
      <c r="L30" s="398">
        <v>12452778.176940719</v>
      </c>
      <c r="M30" s="398">
        <v>24905556.353881437</v>
      </c>
      <c r="N30" s="399" t="s">
        <v>120</v>
      </c>
      <c r="O30" s="323"/>
      <c r="P30" s="400">
        <v>2853016</v>
      </c>
      <c r="Q30" s="401"/>
      <c r="R30" s="402">
        <f>$R$27</f>
        <v>0</v>
      </c>
      <c r="S30" s="402">
        <v>5000000</v>
      </c>
      <c r="T30" s="403">
        <v>0.2</v>
      </c>
      <c r="U30" s="402">
        <f>IF(P30&gt;=S30,(S30-R30)*T30,MAX((P30-R30)*T30,0))</f>
        <v>570603.20000000007</v>
      </c>
      <c r="V30" s="401"/>
      <c r="W30" s="402">
        <v>5000000</v>
      </c>
      <c r="X30" s="402">
        <v>10000000</v>
      </c>
      <c r="Y30" s="403">
        <v>0.4</v>
      </c>
      <c r="Z30" s="404">
        <f>IF(P30&gt;=X30,(X30-W30)*Y30,MAX((P30-W30)*Y30,0))</f>
        <v>0</v>
      </c>
      <c r="AA30" s="401"/>
      <c r="AB30" s="402">
        <v>10000000</v>
      </c>
      <c r="AC30" s="402" t="str">
        <f>$AC$27</f>
        <v>NA</v>
      </c>
      <c r="AD30" s="403">
        <v>0.6</v>
      </c>
      <c r="AE30" s="402">
        <f>IF(P30&gt;=AC30,(AC30-AB30)*AD30,MAX((P30-AB30)*AD30,0))</f>
        <v>0</v>
      </c>
      <c r="AF30" s="405">
        <f>U30+Z30+AE30</f>
        <v>570603.20000000007</v>
      </c>
      <c r="AG30" s="323"/>
      <c r="AH30" s="406">
        <f>M30+AF30</f>
        <v>25476159.553881437</v>
      </c>
      <c r="AI30" s="407">
        <v>570603.19999999902</v>
      </c>
      <c r="AJ30" s="323"/>
      <c r="AK30" s="323"/>
      <c r="AL30" s="323"/>
      <c r="AM30" s="408">
        <v>16179112</v>
      </c>
      <c r="AN30" s="323"/>
      <c r="AO30" s="406">
        <f>IF(AI30&gt;AM30,AM30,AI30)</f>
        <v>570603.19999999902</v>
      </c>
      <c r="AP30" s="406">
        <v>25476160</v>
      </c>
      <c r="AQ30" s="406">
        <v>13000000</v>
      </c>
      <c r="AS30" s="374">
        <f>AP30/2</f>
        <v>12738080</v>
      </c>
      <c r="AT30" s="374">
        <f>AP30-AS30</f>
        <v>12738080</v>
      </c>
    </row>
    <row r="31" spans="1:48">
      <c r="A31" s="359"/>
      <c r="B31" s="286">
        <v>2019</v>
      </c>
      <c r="C31" s="325">
        <v>231835625</v>
      </c>
      <c r="D31" s="332">
        <f t="shared" si="1"/>
        <v>5.5147973596590072E-2</v>
      </c>
      <c r="E31" s="333"/>
      <c r="H31" s="333"/>
      <c r="I31" s="333"/>
      <c r="J31" s="333"/>
      <c r="K31" s="342"/>
      <c r="L31" s="342"/>
      <c r="M31" s="342"/>
      <c r="N31" s="342"/>
      <c r="Q31" s="305"/>
      <c r="W31" s="343"/>
      <c r="AS31" s="344">
        <v>2022</v>
      </c>
      <c r="AT31" s="344">
        <v>2023</v>
      </c>
    </row>
    <row r="32" spans="1:48">
      <c r="A32" s="323" t="s">
        <v>198</v>
      </c>
      <c r="B32" s="324">
        <v>2020</v>
      </c>
      <c r="C32" s="325">
        <v>231498224</v>
      </c>
      <c r="D32" s="336">
        <f t="shared" si="1"/>
        <v>-1.4553457864812103E-3</v>
      </c>
      <c r="E32" s="336"/>
      <c r="F32" s="338">
        <f>AVERAGE(C30:C32)</f>
        <v>227684146.33333334</v>
      </c>
      <c r="G32" s="338">
        <f>AVERAGE($C30:$C32)-AVERAGE($C28:$C30)</f>
        <v>16024089.666666687</v>
      </c>
      <c r="H32" s="337">
        <f>(SUM($C30:$C32)/SUM($C28:$C30))-1</f>
        <v>7.5706724825753247E-2</v>
      </c>
      <c r="I32" s="340">
        <f>AVERAGE(C31:C32)</f>
        <v>231666924.5</v>
      </c>
      <c r="J32" s="345">
        <f>I32-I30</f>
        <v>15326190</v>
      </c>
      <c r="K32" s="346">
        <v>6.1700505751704798E-2</v>
      </c>
      <c r="L32" s="338">
        <f>K32*F32</f>
        <v>14048226.980411831</v>
      </c>
      <c r="M32" s="338">
        <f>L32*2</f>
        <v>28096453.960823663</v>
      </c>
      <c r="N32" s="347">
        <f>M32-M30</f>
        <v>3190897.6069422252</v>
      </c>
      <c r="O32" s="323"/>
      <c r="P32" s="348">
        <f>J32</f>
        <v>15326190</v>
      </c>
      <c r="Q32" s="349"/>
      <c r="R32" s="350">
        <f>$R$27</f>
        <v>0</v>
      </c>
      <c r="S32" s="350">
        <f>$S$27</f>
        <v>10000000</v>
      </c>
      <c r="T32" s="351">
        <f>$T$27</f>
        <v>0.25</v>
      </c>
      <c r="U32" s="350">
        <f>IF(P32&gt;=S32,(S32-R32)*T32,MAX((P32-R32)*T32,0))</f>
        <v>2500000</v>
      </c>
      <c r="V32" s="349"/>
      <c r="W32" s="350">
        <f>$W$27</f>
        <v>10000000</v>
      </c>
      <c r="X32" s="350">
        <f>$X$27</f>
        <v>20000000</v>
      </c>
      <c r="Y32" s="351">
        <f>$Y$27</f>
        <v>0.5</v>
      </c>
      <c r="Z32" s="350">
        <f>IF(P32&gt;=X32,(X32-W32)*Y32,MAX((P32-W32)*Y32,0))</f>
        <v>2663095</v>
      </c>
      <c r="AA32" s="349"/>
      <c r="AB32" s="352">
        <f>$AB$27</f>
        <v>20000000</v>
      </c>
      <c r="AC32" s="352" t="str">
        <f>$AC$27</f>
        <v>NA</v>
      </c>
      <c r="AD32" s="351">
        <f>$AD$27</f>
        <v>0.75</v>
      </c>
      <c r="AE32" s="350">
        <f>IF(P32&gt;=AC32,(AC32-AB32)*AD32,MAX((P32-AB32)*AD32,0))</f>
        <v>0</v>
      </c>
      <c r="AF32" s="353">
        <f>U32+Z32+AE32</f>
        <v>5163095</v>
      </c>
      <c r="AG32" s="323"/>
      <c r="AH32" s="354">
        <f>M32+AF32</f>
        <v>33259548.960823663</v>
      </c>
      <c r="AI32" s="354">
        <f>AH32-M21</f>
        <v>7783389.406942226</v>
      </c>
      <c r="AJ32" s="323"/>
      <c r="AK32" s="355"/>
      <c r="AL32" s="323"/>
      <c r="AM32" s="356">
        <f>AQ23*5%</f>
        <v>16953121.050000001</v>
      </c>
      <c r="AN32" s="323"/>
      <c r="AO32" s="355">
        <f>IF(AI32&gt;AM32,AM32,AI32)</f>
        <v>7783389.406942226</v>
      </c>
      <c r="AP32" s="409">
        <f>ROUND(IF(AH32&gt;(M21+0),(M21+0),AH32),0)</f>
        <v>25476160</v>
      </c>
      <c r="AQ32" s="354">
        <f>AP32-M21</f>
        <v>0.44611856341362</v>
      </c>
      <c r="AS32" s="410">
        <f>AP32/2</f>
        <v>12738080</v>
      </c>
      <c r="AT32" s="411">
        <f>AP32-AS32</f>
        <v>12738080</v>
      </c>
    </row>
    <row r="33" spans="1:48" ht="13.8" thickBot="1">
      <c r="B33" s="286">
        <v>2021</v>
      </c>
      <c r="C33" s="325">
        <v>261979495</v>
      </c>
      <c r="D33" s="332">
        <f t="shared" si="1"/>
        <v>0.13166956736566582</v>
      </c>
      <c r="H33" s="333"/>
      <c r="I33" s="375"/>
      <c r="J33" s="285"/>
      <c r="K33" s="376"/>
      <c r="L33" s="272"/>
      <c r="M33" s="272"/>
      <c r="N33" s="272"/>
      <c r="P33" s="377"/>
      <c r="Q33" s="305"/>
      <c r="R33" s="366"/>
      <c r="S33" s="366"/>
      <c r="T33" s="367"/>
      <c r="U33" s="366"/>
      <c r="V33" s="305"/>
      <c r="W33" s="366"/>
      <c r="X33" s="366"/>
      <c r="Y33" s="367"/>
      <c r="Z33" s="366"/>
      <c r="AA33" s="305"/>
      <c r="AB33" s="378"/>
      <c r="AC33" s="378"/>
      <c r="AD33" s="367"/>
      <c r="AE33" s="366"/>
      <c r="AF33" s="368"/>
      <c r="AH33" s="342"/>
      <c r="AI33" s="342"/>
      <c r="AK33" s="364"/>
      <c r="AM33" s="379"/>
      <c r="AO33" s="285"/>
      <c r="AP33" s="380"/>
      <c r="AQ33" s="342"/>
      <c r="AS33" s="344">
        <v>2024</v>
      </c>
      <c r="AT33" s="344">
        <v>2025</v>
      </c>
    </row>
    <row r="34" spans="1:48" s="323" customFormat="1" ht="13.8" thickBot="1">
      <c r="A34" s="323" t="s">
        <v>199</v>
      </c>
      <c r="B34" s="324">
        <v>2022</v>
      </c>
      <c r="C34" s="325">
        <v>285567692</v>
      </c>
      <c r="D34" s="336">
        <f t="shared" si="1"/>
        <v>9.0038332961898337E-2</v>
      </c>
      <c r="F34" s="338">
        <f>AVERAGE(C32:C34)</f>
        <v>259681803.66666666</v>
      </c>
      <c r="G34" s="338">
        <f>AVERAGE($C32:$C34)-AVERAGE($C30:$C32)</f>
        <v>31997657.333333313</v>
      </c>
      <c r="H34" s="337">
        <f>(SUM($C32:$C34)/SUM($C30:$C32))-1</f>
        <v>0.14053528912148416</v>
      </c>
      <c r="I34" s="340">
        <f>AVERAGE(C33:C34)</f>
        <v>273773593.5</v>
      </c>
      <c r="J34" s="345">
        <f>I34-I32</f>
        <v>42106669</v>
      </c>
      <c r="K34" s="381">
        <v>6.4590869999999995E-2</v>
      </c>
      <c r="L34" s="338">
        <f>K34*F34</f>
        <v>16773073.621999187</v>
      </c>
      <c r="M34" s="338">
        <f>L34*2</f>
        <v>33546147.243998375</v>
      </c>
      <c r="N34" s="338">
        <f>M34-M32</f>
        <v>5449693.2831747122</v>
      </c>
      <c r="P34" s="348">
        <f>J34</f>
        <v>42106669</v>
      </c>
      <c r="Q34" s="349"/>
      <c r="R34" s="350">
        <f>$R$8</f>
        <v>0</v>
      </c>
      <c r="S34" s="350">
        <f>$S$8</f>
        <v>10000000</v>
      </c>
      <c r="T34" s="351">
        <f>$T$8</f>
        <v>0.25</v>
      </c>
      <c r="U34" s="350">
        <f>IF(P34&gt;=S34,(S34-R34)*T34,MAX((P34-R34)*T34,0))</f>
        <v>2500000</v>
      </c>
      <c r="V34" s="349"/>
      <c r="W34" s="350">
        <f>$W$8</f>
        <v>10000000</v>
      </c>
      <c r="X34" s="350">
        <f>$X$8</f>
        <v>20000000</v>
      </c>
      <c r="Y34" s="351">
        <f>$Y$8</f>
        <v>0.5</v>
      </c>
      <c r="Z34" s="350">
        <f>IF(P34&gt;=X34,(X34-W34)*Y34,MAX((P34-W34)*Y34,0))</f>
        <v>5000000</v>
      </c>
      <c r="AA34" s="349"/>
      <c r="AB34" s="352">
        <f>$AB$8</f>
        <v>20000000</v>
      </c>
      <c r="AC34" s="352" t="str">
        <f>$AC$8</f>
        <v>NA</v>
      </c>
      <c r="AD34" s="351">
        <f>$AD$8</f>
        <v>0.75</v>
      </c>
      <c r="AE34" s="350">
        <f>IF(P34&gt;=AC34,(AC34-AB34)*AD34,MAX((P34-AB34)*AD34,0))</f>
        <v>16580001.75</v>
      </c>
      <c r="AF34" s="353">
        <f>U34+Z34+AE34</f>
        <v>24080001.75</v>
      </c>
      <c r="AH34" s="354">
        <f>M34+AF34</f>
        <v>57626148.993998379</v>
      </c>
      <c r="AI34" s="354">
        <f>AH34-M22</f>
        <v>32149988.993998379</v>
      </c>
      <c r="AK34" s="371"/>
      <c r="AM34" s="372">
        <f>$AQ$24*5%</f>
        <v>17473754.788463451</v>
      </c>
      <c r="AO34" s="355">
        <f>IF(AI34&gt;AM34,AM34,AI34)</f>
        <v>17473754.788463451</v>
      </c>
      <c r="AP34" s="382">
        <f>AS34+AT34</f>
        <v>42949947</v>
      </c>
      <c r="AQ34" s="354">
        <f>AP34-M22</f>
        <v>17473787</v>
      </c>
      <c r="AR34" s="270"/>
      <c r="AS34" s="383">
        <v>21474974</v>
      </c>
      <c r="AT34" s="384">
        <v>21474973</v>
      </c>
      <c r="AU34" s="270"/>
      <c r="AV34" s="270"/>
    </row>
    <row r="35" spans="1:48">
      <c r="C35" s="377"/>
      <c r="D35" s="332"/>
      <c r="H35" s="333"/>
      <c r="I35" s="375"/>
      <c r="J35" s="285"/>
      <c r="K35" s="376"/>
      <c r="L35" s="272"/>
      <c r="M35" s="272"/>
      <c r="N35" s="272"/>
      <c r="P35" s="377"/>
      <c r="Q35" s="305"/>
      <c r="R35" s="366"/>
      <c r="S35" s="366"/>
      <c r="T35" s="367"/>
      <c r="U35" s="366"/>
      <c r="V35" s="305"/>
      <c r="W35" s="366"/>
      <c r="X35" s="366"/>
      <c r="Y35" s="367"/>
      <c r="Z35" s="366"/>
      <c r="AA35" s="305"/>
      <c r="AB35" s="378"/>
      <c r="AC35" s="378"/>
      <c r="AD35" s="367"/>
      <c r="AE35" s="366"/>
      <c r="AF35" s="368"/>
      <c r="AH35" s="342"/>
      <c r="AI35" s="342"/>
      <c r="AK35" s="364"/>
      <c r="AM35" s="379"/>
      <c r="AO35" s="285"/>
      <c r="AP35" s="380"/>
      <c r="AQ35" s="342"/>
      <c r="AS35" s="385"/>
      <c r="AT35" s="385"/>
    </row>
    <row r="36" spans="1:48">
      <c r="A36" s="363" t="s">
        <v>200</v>
      </c>
      <c r="AP36" s="342"/>
    </row>
    <row r="37" spans="1:48" ht="13.8" thickBot="1">
      <c r="G37" s="412"/>
      <c r="H37" s="413"/>
      <c r="I37" s="413"/>
      <c r="J37" s="413"/>
      <c r="S37" s="414"/>
    </row>
    <row r="38" spans="1:48" ht="27.75" customHeight="1" thickBot="1">
      <c r="A38" s="969" t="s">
        <v>204</v>
      </c>
      <c r="B38" s="970"/>
      <c r="C38" s="970"/>
      <c r="D38" s="970"/>
      <c r="E38" s="970"/>
      <c r="F38" s="970"/>
      <c r="G38" s="970"/>
      <c r="H38" s="970"/>
      <c r="I38" s="970"/>
      <c r="J38" s="970"/>
      <c r="K38" s="971"/>
      <c r="L38" s="274" t="s">
        <v>150</v>
      </c>
      <c r="M38" s="275">
        <v>25448000</v>
      </c>
      <c r="N38" s="387" t="s">
        <v>151</v>
      </c>
    </row>
    <row r="39" spans="1:48" ht="27" thickBot="1">
      <c r="A39" s="972"/>
      <c r="B39" s="973"/>
      <c r="C39" s="973"/>
      <c r="D39" s="973"/>
      <c r="E39" s="973"/>
      <c r="F39" s="973"/>
      <c r="G39" s="973"/>
      <c r="H39" s="973"/>
      <c r="I39" s="973"/>
      <c r="J39" s="973"/>
      <c r="K39" s="974"/>
      <c r="L39" s="277" t="s">
        <v>152</v>
      </c>
      <c r="M39" s="278">
        <v>25448000</v>
      </c>
      <c r="N39" s="415">
        <v>0</v>
      </c>
    </row>
    <row r="40" spans="1:48" ht="13.8" thickBot="1">
      <c r="B40" s="280"/>
      <c r="C40" s="975" t="s">
        <v>153</v>
      </c>
      <c r="D40" s="976"/>
      <c r="E40" s="976"/>
      <c r="F40" s="976"/>
      <c r="G40" s="976"/>
      <c r="H40" s="1013"/>
      <c r="I40" s="281"/>
      <c r="J40" s="282"/>
      <c r="K40" s="1029" t="s">
        <v>154</v>
      </c>
      <c r="L40" s="1030"/>
      <c r="M40" s="1030"/>
      <c r="N40" s="1031"/>
      <c r="P40" s="983" t="s">
        <v>155</v>
      </c>
      <c r="Q40" s="984"/>
      <c r="R40" s="984"/>
      <c r="S40" s="984"/>
      <c r="T40" s="984"/>
      <c r="U40" s="984"/>
      <c r="V40" s="984"/>
      <c r="W40" s="984"/>
      <c r="X40" s="984"/>
      <c r="Y40" s="984"/>
      <c r="Z40" s="984"/>
      <c r="AA40" s="984"/>
      <c r="AB40" s="984"/>
      <c r="AC40" s="984"/>
      <c r="AD40" s="984"/>
      <c r="AE40" s="984"/>
      <c r="AF40" s="985"/>
      <c r="AH40" s="986" t="s">
        <v>156</v>
      </c>
      <c r="AI40" s="985"/>
      <c r="AK40" s="1007" t="s">
        <v>157</v>
      </c>
      <c r="AL40" s="1007"/>
      <c r="AM40" s="1007"/>
      <c r="AO40" s="1027" t="s">
        <v>158</v>
      </c>
      <c r="AP40" s="1027"/>
      <c r="AQ40" s="284">
        <v>261350235.52728248</v>
      </c>
    </row>
    <row r="41" spans="1:48" ht="13.8" thickBot="1">
      <c r="C41" s="977"/>
      <c r="D41" s="978"/>
      <c r="E41" s="978"/>
      <c r="F41" s="978"/>
      <c r="G41" s="978"/>
      <c r="H41" s="1014"/>
      <c r="I41" s="287"/>
      <c r="J41" s="288"/>
      <c r="K41" s="979"/>
      <c r="L41" s="980"/>
      <c r="M41" s="980"/>
      <c r="N41" s="1015"/>
      <c r="P41" s="997" t="s">
        <v>159</v>
      </c>
      <c r="R41" s="999" t="s">
        <v>160</v>
      </c>
      <c r="S41" s="1000"/>
      <c r="T41" s="1000"/>
      <c r="U41" s="1001"/>
      <c r="V41" s="289"/>
      <c r="W41" s="999" t="s">
        <v>161</v>
      </c>
      <c r="X41" s="1000"/>
      <c r="Y41" s="1000"/>
      <c r="Z41" s="1001"/>
      <c r="AA41" s="289"/>
      <c r="AB41" s="999" t="s">
        <v>162</v>
      </c>
      <c r="AC41" s="1000"/>
      <c r="AD41" s="1000"/>
      <c r="AE41" s="1001"/>
      <c r="AF41" s="1002" t="s">
        <v>163</v>
      </c>
      <c r="AH41" s="1004" t="s">
        <v>164</v>
      </c>
      <c r="AI41" s="1004" t="s">
        <v>165</v>
      </c>
      <c r="AK41" s="1007"/>
      <c r="AL41" s="1007"/>
      <c r="AM41" s="1007"/>
      <c r="AO41" s="1028" t="s">
        <v>166</v>
      </c>
      <c r="AP41" s="1028"/>
      <c r="AQ41" s="389">
        <f>'Governor Calculation'!D7</f>
        <v>261350235.52728248</v>
      </c>
    </row>
    <row r="42" spans="1:48" ht="14.4" thickBot="1">
      <c r="C42" s="1017" t="s">
        <v>167</v>
      </c>
      <c r="D42" s="1018"/>
      <c r="E42" s="292"/>
      <c r="F42" s="1021" t="s">
        <v>168</v>
      </c>
      <c r="G42" s="1023" t="s">
        <v>151</v>
      </c>
      <c r="H42" s="1024"/>
      <c r="I42" s="994" t="s">
        <v>170</v>
      </c>
      <c r="J42" s="995"/>
      <c r="K42" s="981"/>
      <c r="L42" s="982"/>
      <c r="M42" s="982"/>
      <c r="N42" s="1016"/>
      <c r="P42" s="998"/>
      <c r="R42" s="999" t="s">
        <v>171</v>
      </c>
      <c r="S42" s="1000"/>
      <c r="T42" s="1000"/>
      <c r="U42" s="1001"/>
      <c r="V42" s="289"/>
      <c r="W42" s="999" t="s">
        <v>172</v>
      </c>
      <c r="X42" s="1000"/>
      <c r="Y42" s="1000"/>
      <c r="Z42" s="1001"/>
      <c r="AA42" s="289"/>
      <c r="AB42" s="999" t="s">
        <v>173</v>
      </c>
      <c r="AC42" s="1000"/>
      <c r="AD42" s="1000"/>
      <c r="AE42" s="1001"/>
      <c r="AF42" s="1002"/>
      <c r="AH42" s="1004"/>
      <c r="AI42" s="1004"/>
      <c r="AK42" s="1007"/>
      <c r="AL42" s="1007"/>
      <c r="AM42" s="1007"/>
      <c r="AS42" s="1008" t="s">
        <v>205</v>
      </c>
      <c r="AT42" s="1008"/>
    </row>
    <row r="43" spans="1:48" ht="37.5" customHeight="1" thickBot="1">
      <c r="A43" s="293" t="s">
        <v>203</v>
      </c>
      <c r="B43" s="294" t="s">
        <v>176</v>
      </c>
      <c r="C43" s="1019"/>
      <c r="D43" s="1020"/>
      <c r="E43" s="295"/>
      <c r="F43" s="1022"/>
      <c r="G43" s="1025"/>
      <c r="H43" s="1026"/>
      <c r="I43" s="296" t="s">
        <v>177</v>
      </c>
      <c r="J43" s="297" t="s">
        <v>151</v>
      </c>
      <c r="K43" s="298" t="s">
        <v>179</v>
      </c>
      <c r="L43" s="299" t="s">
        <v>180</v>
      </c>
      <c r="M43" s="299" t="s">
        <v>181</v>
      </c>
      <c r="N43" s="390" t="s">
        <v>182</v>
      </c>
      <c r="P43" s="998"/>
      <c r="R43" s="301" t="s">
        <v>183</v>
      </c>
      <c r="S43" s="302" t="s">
        <v>184</v>
      </c>
      <c r="T43" s="303" t="s">
        <v>185</v>
      </c>
      <c r="U43" s="304" t="s">
        <v>186</v>
      </c>
      <c r="V43" s="305"/>
      <c r="W43" s="301" t="s">
        <v>183</v>
      </c>
      <c r="X43" s="302" t="s">
        <v>184</v>
      </c>
      <c r="Y43" s="303" t="s">
        <v>185</v>
      </c>
      <c r="Z43" s="304" t="s">
        <v>186</v>
      </c>
      <c r="AA43" s="305"/>
      <c r="AB43" s="301" t="s">
        <v>183</v>
      </c>
      <c r="AC43" s="302" t="s">
        <v>184</v>
      </c>
      <c r="AD43" s="303" t="s">
        <v>185</v>
      </c>
      <c r="AE43" s="304" t="s">
        <v>186</v>
      </c>
      <c r="AF43" s="1002"/>
      <c r="AH43" s="1004"/>
      <c r="AI43" s="1004"/>
      <c r="AK43" s="1009" t="s">
        <v>187</v>
      </c>
      <c r="AL43" s="306"/>
      <c r="AM43" s="1010" t="s">
        <v>188</v>
      </c>
      <c r="AO43" s="307" t="s">
        <v>189</v>
      </c>
      <c r="AP43" s="307" t="s">
        <v>190</v>
      </c>
      <c r="AQ43" s="307" t="s">
        <v>191</v>
      </c>
      <c r="AS43" s="1008" t="s">
        <v>192</v>
      </c>
      <c r="AT43" s="1008"/>
    </row>
    <row r="44" spans="1:48" ht="22.5" customHeight="1" thickBot="1">
      <c r="A44" s="1011"/>
      <c r="B44" s="1012"/>
      <c r="C44" s="391"/>
      <c r="D44" s="309" t="s">
        <v>193</v>
      </c>
      <c r="E44" s="310"/>
      <c r="F44" s="311"/>
      <c r="G44" s="311" t="s">
        <v>194</v>
      </c>
      <c r="H44" s="392" t="s">
        <v>193</v>
      </c>
      <c r="I44" s="312"/>
      <c r="J44" s="313"/>
      <c r="K44" s="314"/>
      <c r="L44" s="315"/>
      <c r="M44" s="295"/>
      <c r="N44" s="393"/>
      <c r="P44" s="317"/>
      <c r="Q44" s="295"/>
      <c r="R44" s="318">
        <v>0</v>
      </c>
      <c r="S44" s="318">
        <v>10000000</v>
      </c>
      <c r="T44" s="319">
        <v>0.25</v>
      </c>
      <c r="U44" s="320"/>
      <c r="V44" s="321"/>
      <c r="W44" s="318">
        <v>10000000</v>
      </c>
      <c r="X44" s="318">
        <v>20000000</v>
      </c>
      <c r="Y44" s="319">
        <v>0.5</v>
      </c>
      <c r="Z44" s="322"/>
      <c r="AA44" s="321"/>
      <c r="AB44" s="318">
        <v>20000000</v>
      </c>
      <c r="AC44" s="318" t="s">
        <v>120</v>
      </c>
      <c r="AD44" s="319">
        <v>0.75</v>
      </c>
      <c r="AE44" s="322"/>
      <c r="AF44" s="1003"/>
      <c r="AH44" s="1005"/>
      <c r="AI44" s="1005"/>
      <c r="AK44" s="1009"/>
      <c r="AM44" s="1010"/>
    </row>
    <row r="45" spans="1:48">
      <c r="A45" s="323" t="s">
        <v>196</v>
      </c>
      <c r="B45" s="324">
        <v>2016</v>
      </c>
      <c r="C45" s="325">
        <v>158880225</v>
      </c>
      <c r="D45" s="336">
        <v>0.18253613160924975</v>
      </c>
      <c r="F45" s="338">
        <v>143580183.33333334</v>
      </c>
      <c r="G45" s="339" t="s">
        <v>120</v>
      </c>
      <c r="H45" s="337"/>
      <c r="I45" s="395">
        <v>146556648</v>
      </c>
      <c r="J45" s="396" t="s">
        <v>120</v>
      </c>
      <c r="K45" s="330" t="s">
        <v>120</v>
      </c>
      <c r="L45" s="330" t="s">
        <v>120</v>
      </c>
      <c r="M45" s="330" t="s">
        <v>120</v>
      </c>
      <c r="N45" s="330" t="s">
        <v>120</v>
      </c>
      <c r="O45" s="323"/>
      <c r="P45" s="323"/>
      <c r="Q45" s="323"/>
      <c r="R45" s="323"/>
      <c r="S45" s="323"/>
      <c r="T45" s="323"/>
      <c r="U45" s="323"/>
      <c r="V45" s="323"/>
      <c r="W45" s="323"/>
      <c r="X45" s="323"/>
      <c r="Y45" s="323"/>
      <c r="Z45" s="323"/>
      <c r="AA45" s="323"/>
      <c r="AB45" s="323"/>
      <c r="AC45" s="323"/>
      <c r="AD45" s="323"/>
      <c r="AE45" s="323"/>
      <c r="AF45" s="323"/>
      <c r="AG45" s="323"/>
      <c r="AH45" s="331"/>
      <c r="AI45" s="331"/>
      <c r="AJ45" s="331"/>
      <c r="AK45" s="331"/>
      <c r="AL45" s="331"/>
      <c r="AM45" s="331"/>
      <c r="AN45" s="323"/>
      <c r="AO45" s="323"/>
      <c r="AP45" s="323"/>
      <c r="AQ45" s="323"/>
      <c r="AR45" s="323"/>
      <c r="AS45" s="323"/>
      <c r="AT45" s="323"/>
    </row>
    <row r="46" spans="1:48">
      <c r="B46" s="286">
        <v>2017</v>
      </c>
      <c r="C46" s="325">
        <v>155254449</v>
      </c>
      <c r="D46" s="332">
        <f t="shared" ref="D46:D51" si="2">C46/C45-1</f>
        <v>-2.2820813603455004E-2</v>
      </c>
      <c r="H46" s="333"/>
      <c r="I46" s="334"/>
      <c r="J46" s="334"/>
      <c r="Q46" s="289"/>
      <c r="R46" s="292"/>
      <c r="S46" s="292"/>
      <c r="T46" s="292"/>
      <c r="U46" s="292"/>
      <c r="V46" s="292"/>
      <c r="W46" s="416"/>
      <c r="X46" s="292"/>
      <c r="Y46" s="292"/>
      <c r="Z46" s="292"/>
      <c r="AA46" s="292"/>
      <c r="AB46" s="292"/>
      <c r="AC46" s="292"/>
      <c r="AD46" s="292"/>
      <c r="AE46" s="292"/>
      <c r="AF46" s="292"/>
      <c r="AS46" s="344">
        <v>2020</v>
      </c>
      <c r="AT46" s="344">
        <v>2021</v>
      </c>
    </row>
    <row r="47" spans="1:48">
      <c r="A47" s="323" t="s">
        <v>197</v>
      </c>
      <c r="B47" s="324">
        <v>2018</v>
      </c>
      <c r="C47" s="325">
        <v>160585785</v>
      </c>
      <c r="D47" s="336">
        <f t="shared" si="2"/>
        <v>3.4339344439656028E-2</v>
      </c>
      <c r="F47" s="338">
        <f>AVERAGE(C45:C47)</f>
        <v>158240153</v>
      </c>
      <c r="G47" s="339">
        <f>F47-F45</f>
        <v>14659969.666666657</v>
      </c>
      <c r="H47" s="337">
        <f>G47/F45</f>
        <v>0.10210301537665764</v>
      </c>
      <c r="I47" s="340">
        <f>AVERAGE(C46:C47)</f>
        <v>157920117</v>
      </c>
      <c r="J47" s="397">
        <f>I47-I45</f>
        <v>11363469</v>
      </c>
      <c r="K47" s="346">
        <v>0.12749151</v>
      </c>
      <c r="L47" s="398">
        <v>12489359.25522582</v>
      </c>
      <c r="M47" s="398">
        <v>24978718.510451641</v>
      </c>
      <c r="N47" s="399" t="s">
        <v>120</v>
      </c>
      <c r="O47" s="323"/>
      <c r="P47" s="417">
        <v>2346407.5</v>
      </c>
      <c r="Q47" s="401"/>
      <c r="R47" s="402">
        <f>$R$46</f>
        <v>0</v>
      </c>
      <c r="S47" s="402">
        <v>5000000</v>
      </c>
      <c r="T47" s="403">
        <v>0.2</v>
      </c>
      <c r="U47" s="402">
        <f>IF(P47&gt;=S47,(S47-R47)*T47,MAX((P47-R47)*T47,0))</f>
        <v>469281.5</v>
      </c>
      <c r="V47" s="402"/>
      <c r="W47" s="402">
        <v>5000000</v>
      </c>
      <c r="X47" s="402">
        <v>10000000</v>
      </c>
      <c r="Y47" s="403">
        <v>0.4</v>
      </c>
      <c r="Z47" s="402">
        <f>IF(P47&gt;=X47,(X47-W47)*Y47,MAX((P47-W47)*Y47,0))</f>
        <v>0</v>
      </c>
      <c r="AA47" s="402"/>
      <c r="AB47" s="402">
        <v>10000000</v>
      </c>
      <c r="AC47" s="418" t="str">
        <f>$AC$44</f>
        <v>NA</v>
      </c>
      <c r="AD47" s="403">
        <v>0.6</v>
      </c>
      <c r="AE47" s="402">
        <f>IF(P47&gt;=AC47,(AC47-AB47)*AD47,MAX((P47-AB47)*AD47,0))</f>
        <v>0</v>
      </c>
      <c r="AF47" s="405">
        <f>U47+Z47+AE47</f>
        <v>469281.5</v>
      </c>
      <c r="AG47" s="323"/>
      <c r="AH47" s="406">
        <f>M47+AF47</f>
        <v>25448000.010451641</v>
      </c>
      <c r="AI47" s="406">
        <v>13000000.0104516</v>
      </c>
      <c r="AJ47" s="323"/>
      <c r="AK47" s="323"/>
      <c r="AL47" s="323"/>
      <c r="AM47" s="408">
        <v>0</v>
      </c>
      <c r="AN47" s="323"/>
      <c r="AO47" s="354">
        <f>AI47</f>
        <v>13000000.0104516</v>
      </c>
      <c r="AP47" s="406">
        <v>25448000</v>
      </c>
      <c r="AQ47" s="406">
        <v>13000000</v>
      </c>
      <c r="AS47" s="374">
        <f>AP47/2</f>
        <v>12724000</v>
      </c>
      <c r="AT47" s="374">
        <f>AP47-AS47</f>
        <v>12724000</v>
      </c>
    </row>
    <row r="48" spans="1:48">
      <c r="A48" s="359"/>
      <c r="B48" s="286">
        <v>2019</v>
      </c>
      <c r="C48" s="325">
        <v>167285336</v>
      </c>
      <c r="D48" s="332">
        <f t="shared" si="2"/>
        <v>4.1719452316405281E-2</v>
      </c>
      <c r="H48" s="333"/>
      <c r="I48" s="333"/>
      <c r="J48" s="333"/>
      <c r="K48" s="342"/>
      <c r="L48" s="342"/>
      <c r="M48" s="342"/>
      <c r="N48" s="342"/>
      <c r="Q48" s="305"/>
      <c r="W48" s="343"/>
      <c r="AS48" s="344">
        <v>2022</v>
      </c>
      <c r="AT48" s="344">
        <v>2023</v>
      </c>
    </row>
    <row r="49" spans="1:67">
      <c r="A49" s="323" t="s">
        <v>198</v>
      </c>
      <c r="B49" s="324">
        <v>2020</v>
      </c>
      <c r="C49" s="325">
        <v>180688873</v>
      </c>
      <c r="D49" s="336">
        <f t="shared" si="2"/>
        <v>8.0123801168083153E-2</v>
      </c>
      <c r="F49" s="338">
        <f>AVERAGE(C47:C49)</f>
        <v>169519998</v>
      </c>
      <c r="G49" s="339">
        <f>F49-F47</f>
        <v>11279845</v>
      </c>
      <c r="H49" s="337">
        <f>(SUM($C47:$C49)/SUM($C45:$C47))-1</f>
        <v>7.1283076931807576E-2</v>
      </c>
      <c r="I49" s="340">
        <f>AVERAGE(C48:C49)</f>
        <v>173987104.5</v>
      </c>
      <c r="J49" s="397">
        <f>I49-I47</f>
        <v>16066987.5</v>
      </c>
      <c r="K49" s="346">
        <v>8.2320037255610101E-2</v>
      </c>
      <c r="L49" s="398">
        <f>K49*F49</f>
        <v>13954892.550930949</v>
      </c>
      <c r="M49" s="398">
        <f>L49*2</f>
        <v>27909785.101861898</v>
      </c>
      <c r="N49" s="398">
        <f>M49-M47</f>
        <v>2931066.5914102569</v>
      </c>
      <c r="O49" s="323"/>
      <c r="P49" s="417">
        <f>J49</f>
        <v>16066987.5</v>
      </c>
      <c r="Q49" s="401"/>
      <c r="R49" s="402">
        <f>$R$44</f>
        <v>0</v>
      </c>
      <c r="S49" s="402">
        <f>$S$44</f>
        <v>10000000</v>
      </c>
      <c r="T49" s="403">
        <f>$T$44</f>
        <v>0.25</v>
      </c>
      <c r="U49" s="402">
        <f>IF(P49&gt;=S49,(S49-R49)*T49,MAX((P49-R49)*T49,0))</f>
        <v>2500000</v>
      </c>
      <c r="V49" s="402"/>
      <c r="W49" s="402">
        <f>$W$44</f>
        <v>10000000</v>
      </c>
      <c r="X49" s="402">
        <f>$X$44</f>
        <v>20000000</v>
      </c>
      <c r="Y49" s="403">
        <f>$Y$44</f>
        <v>0.5</v>
      </c>
      <c r="Z49" s="402">
        <f>IF(P49&gt;=X49,(X49-W49)*Y49,MAX((P49-W49)*Y49,0))</f>
        <v>3033493.75</v>
      </c>
      <c r="AA49" s="402"/>
      <c r="AB49" s="402">
        <f>$AB$44</f>
        <v>20000000</v>
      </c>
      <c r="AC49" s="418" t="str">
        <f>$AC$44</f>
        <v>NA</v>
      </c>
      <c r="AD49" s="403">
        <f>$AD$44</f>
        <v>0.75</v>
      </c>
      <c r="AE49" s="402">
        <f>IF(P49&gt;=AC49,(AC49-AB49)*AD49,MAX((P49-AB49)*AD49,0))</f>
        <v>0</v>
      </c>
      <c r="AF49" s="405">
        <f>U49+Z49+AE49</f>
        <v>5533493.75</v>
      </c>
      <c r="AG49" s="323"/>
      <c r="AH49" s="406">
        <f>M49+AF49</f>
        <v>33443278.851861898</v>
      </c>
      <c r="AI49" s="406">
        <f>AH49-AH47</f>
        <v>7995278.8414102569</v>
      </c>
      <c r="AJ49" s="323"/>
      <c r="AK49" s="323"/>
      <c r="AL49" s="323"/>
      <c r="AM49" s="408">
        <v>13156485.949999999</v>
      </c>
      <c r="AN49" s="323"/>
      <c r="AO49" s="354">
        <f>IF(AI49&gt;AM49,AM49,AI49)</f>
        <v>7995278.8414102569</v>
      </c>
      <c r="AP49" s="406">
        <f>ROUND(IF(AH49&gt;(M38+AM52),(M38+AM52),AH49),0)</f>
        <v>25448000</v>
      </c>
      <c r="AQ49" s="406">
        <f>AP49-M38</f>
        <v>0</v>
      </c>
      <c r="AS49" s="374">
        <f>AP49/2</f>
        <v>12724000</v>
      </c>
      <c r="AT49" s="374">
        <f>AP49-AS49</f>
        <v>12724000</v>
      </c>
    </row>
    <row r="50" spans="1:67" ht="13.8" thickBot="1">
      <c r="B50" s="286">
        <v>2021</v>
      </c>
      <c r="C50" s="325">
        <v>187154080</v>
      </c>
      <c r="D50" s="332">
        <f t="shared" si="2"/>
        <v>3.5780880652235947E-2</v>
      </c>
      <c r="H50" s="333"/>
      <c r="I50" s="375"/>
      <c r="J50" s="285"/>
      <c r="K50" s="376"/>
      <c r="L50" s="272"/>
      <c r="M50" s="272"/>
      <c r="N50" s="272"/>
      <c r="P50" s="377"/>
      <c r="Q50" s="305"/>
      <c r="R50" s="366"/>
      <c r="S50" s="366"/>
      <c r="T50" s="367"/>
      <c r="U50" s="366"/>
      <c r="V50" s="305"/>
      <c r="W50" s="366"/>
      <c r="X50" s="366"/>
      <c r="Y50" s="367"/>
      <c r="Z50" s="366"/>
      <c r="AA50" s="305"/>
      <c r="AB50" s="378"/>
      <c r="AC50" s="378"/>
      <c r="AD50" s="367"/>
      <c r="AE50" s="366"/>
      <c r="AF50" s="368"/>
      <c r="AH50" s="342"/>
      <c r="AI50" s="342"/>
      <c r="AK50" s="364"/>
      <c r="AM50" s="379"/>
      <c r="AO50" s="285"/>
      <c r="AP50" s="380"/>
      <c r="AQ50" s="342"/>
      <c r="AS50" s="344">
        <v>2024</v>
      </c>
      <c r="AT50" s="344">
        <v>2025</v>
      </c>
    </row>
    <row r="51" spans="1:67" s="323" customFormat="1" ht="13.8" thickBot="1">
      <c r="A51" s="323" t="s">
        <v>199</v>
      </c>
      <c r="B51" s="324">
        <v>2022</v>
      </c>
      <c r="C51" s="325">
        <v>205016598</v>
      </c>
      <c r="D51" s="336">
        <f t="shared" si="2"/>
        <v>9.5442845809185606E-2</v>
      </c>
      <c r="F51" s="338">
        <f>AVERAGE(C49:C51)</f>
        <v>190953183.66666666</v>
      </c>
      <c r="G51" s="338">
        <f>AVERAGE($C49:$C51)-AVERAGE($C47:$C49)</f>
        <v>21433185.666666657</v>
      </c>
      <c r="H51" s="337">
        <f>(SUM($C49:$C51)/SUM($C47:$C49))-1</f>
        <v>0.12643455591986652</v>
      </c>
      <c r="I51" s="340">
        <f>AVERAGE(C50:C51)</f>
        <v>196085339</v>
      </c>
      <c r="J51" s="345">
        <f>I51-I49</f>
        <v>22098234.5</v>
      </c>
      <c r="K51" s="381">
        <f>K49*(1+H51/3)</f>
        <v>8.5789403040183398E-2</v>
      </c>
      <c r="L51" s="338">
        <f>K51*F51</f>
        <v>16381759.635385832</v>
      </c>
      <c r="M51" s="338">
        <f>L51*2</f>
        <v>32763519.270771664</v>
      </c>
      <c r="N51" s="338">
        <f>M51-M49</f>
        <v>4853734.1689097658</v>
      </c>
      <c r="P51" s="348">
        <f>J51</f>
        <v>22098234.5</v>
      </c>
      <c r="Q51" s="349"/>
      <c r="R51" s="350">
        <f>$R$8</f>
        <v>0</v>
      </c>
      <c r="S51" s="350">
        <f>$S$8</f>
        <v>10000000</v>
      </c>
      <c r="T51" s="351">
        <f>$T$8</f>
        <v>0.25</v>
      </c>
      <c r="U51" s="350">
        <f>IF(P51&gt;=S51,(S51-R51)*T51,MAX((P51-R51)*T51,0))</f>
        <v>2500000</v>
      </c>
      <c r="V51" s="349"/>
      <c r="W51" s="350">
        <f>$W$8</f>
        <v>10000000</v>
      </c>
      <c r="X51" s="350">
        <f>$X$8</f>
        <v>20000000</v>
      </c>
      <c r="Y51" s="351">
        <f>$Y$8</f>
        <v>0.5</v>
      </c>
      <c r="Z51" s="350">
        <f>IF(P51&gt;=X51,(X51-W51)*Y51,MAX((P51-W51)*Y51,0))</f>
        <v>5000000</v>
      </c>
      <c r="AA51" s="349"/>
      <c r="AB51" s="352">
        <f>$AB$8</f>
        <v>20000000</v>
      </c>
      <c r="AC51" s="352" t="str">
        <f>$AC$8</f>
        <v>NA</v>
      </c>
      <c r="AD51" s="351">
        <f>$AD$8</f>
        <v>0.75</v>
      </c>
      <c r="AE51" s="350">
        <f>IF(P51&gt;=AC51,(AC51-AB51)*AD51,MAX((P51-AB51)*AD51,0))</f>
        <v>1573675.875</v>
      </c>
      <c r="AF51" s="353">
        <f>U51+Z51+AE51</f>
        <v>9073675.875</v>
      </c>
      <c r="AH51" s="354">
        <f>M51+AF51</f>
        <v>41837195.145771667</v>
      </c>
      <c r="AI51" s="354">
        <f>AH51-M39</f>
        <v>16389195.145771667</v>
      </c>
      <c r="AK51" s="371"/>
      <c r="AM51" s="372">
        <f>$AQ$41*5%</f>
        <v>13067511.776364125</v>
      </c>
      <c r="AO51" s="355">
        <f>IF(AI51&gt;AM51,AM51,AI51)</f>
        <v>13067511.776364125</v>
      </c>
      <c r="AP51" s="382">
        <f>ROUND(IF(AH51&gt;(M39+AM51),(M39+AM51),AH51),0)</f>
        <v>38515512</v>
      </c>
      <c r="AQ51" s="354">
        <f>AP51-M39</f>
        <v>13067512</v>
      </c>
      <c r="AR51" s="270"/>
      <c r="AS51" s="383">
        <f>AP51/2</f>
        <v>19257756</v>
      </c>
      <c r="AT51" s="384">
        <f>AP51-AS51</f>
        <v>19257756</v>
      </c>
      <c r="AU51" s="270"/>
      <c r="AV51" s="270"/>
    </row>
    <row r="52" spans="1:67">
      <c r="AK52" s="419"/>
      <c r="AL52" s="363"/>
      <c r="AM52" s="420"/>
    </row>
    <row r="53" spans="1:67" s="286" customFormat="1">
      <c r="A53" s="363" t="s">
        <v>200</v>
      </c>
      <c r="C53" s="272"/>
      <c r="D53" s="270"/>
      <c r="E53" s="270"/>
      <c r="F53" s="272"/>
      <c r="G53" s="272"/>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270"/>
      <c r="AL53" s="270"/>
      <c r="AM53" s="421"/>
      <c r="AN53" s="421"/>
      <c r="AO53" s="421"/>
      <c r="AP53" s="421"/>
      <c r="AQ53" s="421"/>
      <c r="AR53" s="270"/>
      <c r="AS53" s="270"/>
      <c r="AT53" s="270"/>
      <c r="AU53" s="270"/>
      <c r="AV53" s="270"/>
      <c r="AW53" s="270"/>
      <c r="AX53" s="270"/>
      <c r="AY53" s="270"/>
      <c r="AZ53" s="270"/>
      <c r="BA53" s="270"/>
      <c r="BB53" s="270"/>
      <c r="BC53" s="270"/>
      <c r="BD53" s="270"/>
      <c r="BE53" s="270"/>
      <c r="BF53" s="270"/>
      <c r="BG53" s="270"/>
      <c r="BH53" s="270"/>
      <c r="BI53" s="270"/>
      <c r="BJ53" s="270"/>
      <c r="BK53" s="270"/>
      <c r="BL53" s="270"/>
      <c r="BM53" s="270"/>
      <c r="BN53" s="270"/>
      <c r="BO53" s="270"/>
    </row>
    <row r="54" spans="1:67">
      <c r="AK54" s="414"/>
      <c r="AM54" s="421"/>
      <c r="AN54" s="421"/>
      <c r="AO54" s="421"/>
      <c r="AP54" s="422"/>
      <c r="AQ54" s="421"/>
    </row>
  </sheetData>
  <mergeCells count="81">
    <mergeCell ref="A44:B44"/>
    <mergeCell ref="R42:U42"/>
    <mergeCell ref="W42:Z42"/>
    <mergeCell ref="AB42:AE42"/>
    <mergeCell ref="AS42:AT42"/>
    <mergeCell ref="AK43:AK44"/>
    <mergeCell ref="AM43:AM44"/>
    <mergeCell ref="AS43:AT43"/>
    <mergeCell ref="AK40:AM42"/>
    <mergeCell ref="AO40:AP40"/>
    <mergeCell ref="P41:P43"/>
    <mergeCell ref="R41:U41"/>
    <mergeCell ref="W41:Z41"/>
    <mergeCell ref="AB41:AE41"/>
    <mergeCell ref="AF41:AF44"/>
    <mergeCell ref="AH41:AH44"/>
    <mergeCell ref="A27:B27"/>
    <mergeCell ref="A38:K39"/>
    <mergeCell ref="C40:H41"/>
    <mergeCell ref="K40:N42"/>
    <mergeCell ref="P40:AF40"/>
    <mergeCell ref="C42:D43"/>
    <mergeCell ref="F42:F43"/>
    <mergeCell ref="G42:H43"/>
    <mergeCell ref="I42:J42"/>
    <mergeCell ref="AH24:AH27"/>
    <mergeCell ref="AI24:AI27"/>
    <mergeCell ref="AO24:AP24"/>
    <mergeCell ref="AH23:AI23"/>
    <mergeCell ref="AI41:AI44"/>
    <mergeCell ref="AO41:AP41"/>
    <mergeCell ref="AH40:AI40"/>
    <mergeCell ref="AS25:AT25"/>
    <mergeCell ref="AK26:AK27"/>
    <mergeCell ref="AM26:AM27"/>
    <mergeCell ref="AS26:AT26"/>
    <mergeCell ref="AK23:AM25"/>
    <mergeCell ref="AO23:AP23"/>
    <mergeCell ref="A21:K22"/>
    <mergeCell ref="C23:H24"/>
    <mergeCell ref="K23:N25"/>
    <mergeCell ref="P23:AF23"/>
    <mergeCell ref="C25:D26"/>
    <mergeCell ref="F25:F26"/>
    <mergeCell ref="G25:H26"/>
    <mergeCell ref="I25:J25"/>
    <mergeCell ref="P24:P26"/>
    <mergeCell ref="R24:U24"/>
    <mergeCell ref="W24:Z24"/>
    <mergeCell ref="AB24:AE24"/>
    <mergeCell ref="AF24:AF27"/>
    <mergeCell ref="R25:U25"/>
    <mergeCell ref="W25:Z25"/>
    <mergeCell ref="AB25:AE25"/>
    <mergeCell ref="AS6:AT6"/>
    <mergeCell ref="AK7:AK8"/>
    <mergeCell ref="AM7:AM8"/>
    <mergeCell ref="AS7:AT7"/>
    <mergeCell ref="A8:B8"/>
    <mergeCell ref="AO4:AP4"/>
    <mergeCell ref="P5:P7"/>
    <mergeCell ref="R5:U5"/>
    <mergeCell ref="W5:Z5"/>
    <mergeCell ref="AB5:AE5"/>
    <mergeCell ref="AF5:AF8"/>
    <mergeCell ref="AH5:AH8"/>
    <mergeCell ref="AI5:AI8"/>
    <mergeCell ref="AO5:AP5"/>
    <mergeCell ref="R6:U6"/>
    <mergeCell ref="AK4:AM6"/>
    <mergeCell ref="W6:Z6"/>
    <mergeCell ref="AB6:AE6"/>
    <mergeCell ref="A2:K3"/>
    <mergeCell ref="C4:H5"/>
    <mergeCell ref="K4:N6"/>
    <mergeCell ref="P4:AF4"/>
    <mergeCell ref="AH4:AI4"/>
    <mergeCell ref="C6:D7"/>
    <mergeCell ref="F6:F7"/>
    <mergeCell ref="G6:H7"/>
    <mergeCell ref="I6:J6"/>
  </mergeCells>
  <printOptions horizontalCentered="1"/>
  <pageMargins left="0.25" right="0.25" top="0.25" bottom="0.25" header="0.3" footer="0.3"/>
  <pageSetup paperSize="5" scale="53" fitToHeight="0" orientation="landscape" horizontalDpi="4294967295" verticalDpi="4294967295"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C1506-2A89-4383-90F6-046224A394B1}">
  <sheetPr>
    <pageSetUpPr fitToPage="1"/>
  </sheetPr>
  <dimension ref="A1:BO53"/>
  <sheetViews>
    <sheetView zoomScale="90" zoomScaleNormal="90" workbookViewId="0"/>
  </sheetViews>
  <sheetFormatPr defaultColWidth="9.109375" defaultRowHeight="13.8"/>
  <cols>
    <col min="1" max="1" width="8.44140625" style="227" customWidth="1"/>
    <col min="2" max="2" width="5.6640625" style="227" bestFit="1" customWidth="1"/>
    <col min="3" max="3" width="15.5546875" style="227" bestFit="1" customWidth="1"/>
    <col min="4" max="4" width="6.6640625" style="227" bestFit="1" customWidth="1"/>
    <col min="5" max="5" width="1.88671875" style="227" customWidth="1"/>
    <col min="6" max="6" width="14.5546875" style="227" bestFit="1" customWidth="1"/>
    <col min="7" max="7" width="13" style="227" bestFit="1" customWidth="1"/>
    <col min="8" max="8" width="7" style="227" bestFit="1" customWidth="1"/>
    <col min="9" max="9" width="14.44140625" style="227" bestFit="1" customWidth="1"/>
    <col min="10" max="10" width="12.88671875" style="227" customWidth="1"/>
    <col min="11" max="11" width="14.6640625" style="227" customWidth="1"/>
    <col min="12" max="12" width="13.5546875" style="227" customWidth="1"/>
    <col min="13" max="13" width="15.88671875" style="227" bestFit="1" customWidth="1"/>
    <col min="14" max="14" width="14.33203125" style="227" bestFit="1" customWidth="1"/>
    <col min="15" max="15" width="1.6640625" style="227" customWidth="1"/>
    <col min="16" max="16" width="13.5546875" style="227" customWidth="1"/>
    <col min="17" max="17" width="1.44140625" style="227" customWidth="1"/>
    <col min="18" max="18" width="6.44140625" style="227" customWidth="1"/>
    <col min="19" max="19" width="12.5546875" style="227" customWidth="1"/>
    <col min="20" max="20" width="5.44140625" style="227" customWidth="1"/>
    <col min="21" max="21" width="10.88671875" style="227" customWidth="1"/>
    <col min="22" max="22" width="3" style="227" customWidth="1"/>
    <col min="23" max="23" width="13.88671875" style="227" customWidth="1"/>
    <col min="24" max="24" width="13.44140625" style="227" customWidth="1"/>
    <col min="25" max="25" width="6.33203125" style="227" customWidth="1"/>
    <col min="26" max="26" width="11.44140625" style="227" customWidth="1"/>
    <col min="27" max="27" width="3" style="227" customWidth="1"/>
    <col min="28" max="28" width="11.88671875" style="227" customWidth="1"/>
    <col min="29" max="29" width="4.44140625" style="227" customWidth="1"/>
    <col min="30" max="30" width="6.6640625" style="227" customWidth="1"/>
    <col min="31" max="31" width="12.44140625" style="227" customWidth="1"/>
    <col min="32" max="32" width="14.5546875" style="227" bestFit="1" customWidth="1"/>
    <col min="33" max="33" width="1.6640625" style="227" customWidth="1"/>
    <col min="34" max="34" width="17" style="227" customWidth="1"/>
    <col min="35" max="35" width="12.88671875" style="227" customWidth="1"/>
    <col min="36" max="36" width="4.5546875" style="227" hidden="1" customWidth="1"/>
    <col min="37" max="37" width="13.109375" style="227" bestFit="1" customWidth="1"/>
    <col min="38" max="38" width="1.44140625" style="227" customWidth="1"/>
    <col min="39" max="39" width="15.88671875" style="227" customWidth="1"/>
    <col min="40" max="40" width="2" style="227" customWidth="1"/>
    <col min="41" max="41" width="13" style="227" customWidth="1"/>
    <col min="42" max="42" width="15.88671875" style="227" bestFit="1" customWidth="1"/>
    <col min="43" max="43" width="14.6640625" style="227" bestFit="1" customWidth="1"/>
    <col min="44" max="44" width="2.109375" style="227" customWidth="1"/>
    <col min="45" max="46" width="15.44140625" style="227" bestFit="1" customWidth="1"/>
    <col min="47" max="47" width="9.33203125" style="227" bestFit="1" customWidth="1"/>
    <col min="48" max="16384" width="9.109375" style="227"/>
  </cols>
  <sheetData>
    <row r="1" spans="1:67" ht="12.75" customHeight="1" thickBot="1">
      <c r="A1" s="270"/>
      <c r="B1" s="271"/>
      <c r="C1" s="272"/>
      <c r="D1" s="270"/>
      <c r="E1" s="270"/>
      <c r="F1" s="272"/>
      <c r="G1" s="272"/>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3"/>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row>
    <row r="2" spans="1:67" ht="35.25" customHeight="1" thickBot="1">
      <c r="A2" s="969" t="s">
        <v>206</v>
      </c>
      <c r="B2" s="970"/>
      <c r="C2" s="970"/>
      <c r="D2" s="970"/>
      <c r="E2" s="970"/>
      <c r="F2" s="970"/>
      <c r="G2" s="970"/>
      <c r="H2" s="970"/>
      <c r="I2" s="970"/>
      <c r="J2" s="970"/>
      <c r="K2" s="971"/>
      <c r="L2" s="274" t="s">
        <v>207</v>
      </c>
      <c r="M2" s="275">
        <v>24500000</v>
      </c>
      <c r="N2" s="276" t="s">
        <v>151</v>
      </c>
      <c r="O2" s="270"/>
      <c r="P2" s="270"/>
      <c r="Q2" s="270"/>
      <c r="R2" s="270"/>
      <c r="S2" s="423"/>
      <c r="T2" s="270"/>
      <c r="U2" s="270"/>
      <c r="V2" s="270"/>
      <c r="W2" s="270"/>
      <c r="X2" s="270"/>
      <c r="Y2" s="270"/>
      <c r="Z2" s="270"/>
      <c r="AA2" s="270"/>
      <c r="AB2" s="270"/>
      <c r="AC2" s="270"/>
      <c r="AD2" s="270"/>
      <c r="AE2" s="270"/>
      <c r="AF2" s="270"/>
      <c r="AG2" s="270"/>
      <c r="AH2" s="270"/>
      <c r="AI2" s="270"/>
      <c r="AJ2" s="270"/>
      <c r="AK2" s="270"/>
      <c r="AL2" s="270"/>
      <c r="AM2" s="273"/>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row>
    <row r="3" spans="1:67" ht="29.25" customHeight="1" thickBot="1">
      <c r="A3" s="972"/>
      <c r="B3" s="973"/>
      <c r="C3" s="973"/>
      <c r="D3" s="973"/>
      <c r="E3" s="973"/>
      <c r="F3" s="973"/>
      <c r="G3" s="973"/>
      <c r="H3" s="973"/>
      <c r="I3" s="973"/>
      <c r="J3" s="973"/>
      <c r="K3" s="974"/>
      <c r="L3" s="277" t="s">
        <v>152</v>
      </c>
      <c r="M3" s="278">
        <v>24500000</v>
      </c>
      <c r="N3" s="279">
        <v>0</v>
      </c>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3"/>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row>
    <row r="4" spans="1:67" ht="16.5" customHeight="1" thickBot="1">
      <c r="A4" s="270"/>
      <c r="B4" s="280"/>
      <c r="C4" s="975" t="s">
        <v>153</v>
      </c>
      <c r="D4" s="976"/>
      <c r="E4" s="976"/>
      <c r="F4" s="976"/>
      <c r="G4" s="976"/>
      <c r="H4" s="976"/>
      <c r="I4" s="281"/>
      <c r="J4" s="282"/>
      <c r="K4" s="979" t="s">
        <v>154</v>
      </c>
      <c r="L4" s="980"/>
      <c r="M4" s="980"/>
      <c r="N4" s="980"/>
      <c r="O4" s="283"/>
      <c r="P4" s="983" t="s">
        <v>155</v>
      </c>
      <c r="Q4" s="984"/>
      <c r="R4" s="984"/>
      <c r="S4" s="984"/>
      <c r="T4" s="984"/>
      <c r="U4" s="984"/>
      <c r="V4" s="984"/>
      <c r="W4" s="984"/>
      <c r="X4" s="984"/>
      <c r="Y4" s="984"/>
      <c r="Z4" s="984"/>
      <c r="AA4" s="984"/>
      <c r="AB4" s="984"/>
      <c r="AC4" s="984"/>
      <c r="AD4" s="984"/>
      <c r="AE4" s="984"/>
      <c r="AF4" s="985"/>
      <c r="AG4" s="270"/>
      <c r="AH4" s="986" t="s">
        <v>156</v>
      </c>
      <c r="AI4" s="985"/>
      <c r="AJ4" s="270"/>
      <c r="AK4" s="1007" t="s">
        <v>157</v>
      </c>
      <c r="AL4" s="1007"/>
      <c r="AM4" s="1007"/>
      <c r="AN4" s="270"/>
      <c r="AO4" s="1032" t="s">
        <v>158</v>
      </c>
      <c r="AP4" s="1032"/>
      <c r="AQ4" s="284">
        <v>253845865</v>
      </c>
      <c r="AU4" s="270"/>
      <c r="AV4" s="270"/>
      <c r="AW4" s="270"/>
      <c r="AX4" s="270"/>
      <c r="AY4" s="270"/>
      <c r="AZ4" s="270"/>
      <c r="BA4" s="270"/>
      <c r="BB4" s="270"/>
      <c r="BC4" s="270"/>
      <c r="BD4" s="270"/>
      <c r="BE4" s="270"/>
      <c r="BF4" s="270"/>
      <c r="BG4" s="270"/>
      <c r="BH4" s="270"/>
      <c r="BI4" s="270"/>
      <c r="BJ4" s="270"/>
      <c r="BK4" s="270"/>
      <c r="BL4" s="270"/>
      <c r="BM4" s="270"/>
      <c r="BN4" s="270"/>
      <c r="BO4" s="270"/>
    </row>
    <row r="5" spans="1:67" ht="16.5" customHeight="1" thickBot="1">
      <c r="A5" s="270"/>
      <c r="B5" s="286"/>
      <c r="C5" s="977"/>
      <c r="D5" s="978"/>
      <c r="E5" s="978"/>
      <c r="F5" s="976"/>
      <c r="G5" s="976"/>
      <c r="H5" s="976"/>
      <c r="I5" s="287"/>
      <c r="J5" s="288"/>
      <c r="K5" s="979"/>
      <c r="L5" s="980"/>
      <c r="M5" s="980"/>
      <c r="N5" s="980"/>
      <c r="O5" s="283"/>
      <c r="P5" s="997" t="s">
        <v>159</v>
      </c>
      <c r="Q5" s="270"/>
      <c r="R5" s="999" t="s">
        <v>160</v>
      </c>
      <c r="S5" s="1000"/>
      <c r="T5" s="1000"/>
      <c r="U5" s="1001"/>
      <c r="V5" s="289"/>
      <c r="W5" s="999" t="s">
        <v>161</v>
      </c>
      <c r="X5" s="1000"/>
      <c r="Y5" s="1000"/>
      <c r="Z5" s="1001"/>
      <c r="AA5" s="289"/>
      <c r="AB5" s="999" t="s">
        <v>162</v>
      </c>
      <c r="AC5" s="1000"/>
      <c r="AD5" s="1000"/>
      <c r="AE5" s="1001"/>
      <c r="AF5" s="1002" t="s">
        <v>163</v>
      </c>
      <c r="AG5" s="270"/>
      <c r="AH5" s="1004" t="s">
        <v>164</v>
      </c>
      <c r="AI5" s="1004" t="s">
        <v>165</v>
      </c>
      <c r="AJ5" s="270"/>
      <c r="AK5" s="1007"/>
      <c r="AL5" s="1007"/>
      <c r="AM5" s="1007"/>
      <c r="AN5" s="270"/>
      <c r="AO5" s="1033" t="s">
        <v>166</v>
      </c>
      <c r="AP5" s="1033"/>
      <c r="AQ5" s="389">
        <f>'Governor Calculation'!D8</f>
        <v>267851845.98640746</v>
      </c>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row>
    <row r="6" spans="1:67" ht="16.5" customHeight="1" thickBot="1">
      <c r="A6" s="270"/>
      <c r="B6" s="286"/>
      <c r="C6" s="987" t="s">
        <v>167</v>
      </c>
      <c r="D6" s="988"/>
      <c r="E6" s="292"/>
      <c r="F6" s="991" t="s">
        <v>168</v>
      </c>
      <c r="G6" s="992" t="s">
        <v>169</v>
      </c>
      <c r="H6" s="993"/>
      <c r="I6" s="994" t="s">
        <v>170</v>
      </c>
      <c r="J6" s="995"/>
      <c r="K6" s="981"/>
      <c r="L6" s="982"/>
      <c r="M6" s="982"/>
      <c r="N6" s="982"/>
      <c r="O6" s="283"/>
      <c r="P6" s="998"/>
      <c r="Q6" s="270"/>
      <c r="R6" s="999" t="s">
        <v>208</v>
      </c>
      <c r="S6" s="1000"/>
      <c r="T6" s="1000"/>
      <c r="U6" s="1001"/>
      <c r="V6" s="289"/>
      <c r="W6" s="999" t="s">
        <v>209</v>
      </c>
      <c r="X6" s="1000"/>
      <c r="Y6" s="1000"/>
      <c r="Z6" s="1001"/>
      <c r="AA6" s="289"/>
      <c r="AB6" s="999" t="s">
        <v>210</v>
      </c>
      <c r="AC6" s="1000"/>
      <c r="AD6" s="1000"/>
      <c r="AE6" s="1001"/>
      <c r="AF6" s="1002"/>
      <c r="AG6" s="270"/>
      <c r="AH6" s="1004"/>
      <c r="AI6" s="1004"/>
      <c r="AJ6" s="270"/>
      <c r="AK6" s="1007"/>
      <c r="AL6" s="1007"/>
      <c r="AM6" s="1007"/>
      <c r="AN6" s="270"/>
      <c r="AO6" s="270"/>
      <c r="AP6" s="270"/>
      <c r="AQ6" s="270"/>
      <c r="AR6" s="270"/>
      <c r="AS6" s="1008" t="s">
        <v>211</v>
      </c>
      <c r="AT6" s="1008"/>
      <c r="AU6" s="270"/>
      <c r="AV6" s="270"/>
      <c r="AW6" s="270"/>
      <c r="AX6" s="270"/>
      <c r="AY6" s="270"/>
      <c r="AZ6" s="270"/>
      <c r="BA6" s="270"/>
      <c r="BB6" s="270"/>
      <c r="BC6" s="270"/>
      <c r="BD6" s="270"/>
      <c r="BE6" s="270"/>
      <c r="BF6" s="270"/>
      <c r="BG6" s="270"/>
      <c r="BH6" s="270"/>
      <c r="BI6" s="270"/>
      <c r="BJ6" s="270"/>
      <c r="BK6" s="270"/>
      <c r="BL6" s="270"/>
      <c r="BM6" s="270"/>
      <c r="BN6" s="270"/>
      <c r="BO6" s="270"/>
    </row>
    <row r="7" spans="1:67" ht="40.5" customHeight="1" thickBot="1">
      <c r="A7" s="293" t="s">
        <v>175</v>
      </c>
      <c r="B7" s="294" t="s">
        <v>176</v>
      </c>
      <c r="C7" s="989"/>
      <c r="D7" s="990"/>
      <c r="E7" s="295"/>
      <c r="F7" s="991"/>
      <c r="G7" s="992"/>
      <c r="H7" s="993"/>
      <c r="I7" s="296" t="s">
        <v>177</v>
      </c>
      <c r="J7" s="297" t="s">
        <v>178</v>
      </c>
      <c r="K7" s="298" t="s">
        <v>179</v>
      </c>
      <c r="L7" s="299" t="s">
        <v>180</v>
      </c>
      <c r="M7" s="299" t="s">
        <v>181</v>
      </c>
      <c r="N7" s="300" t="s">
        <v>182</v>
      </c>
      <c r="O7" s="283"/>
      <c r="P7" s="998"/>
      <c r="Q7" s="270"/>
      <c r="R7" s="301" t="s">
        <v>183</v>
      </c>
      <c r="S7" s="302" t="s">
        <v>184</v>
      </c>
      <c r="T7" s="303" t="s">
        <v>185</v>
      </c>
      <c r="U7" s="304" t="s">
        <v>186</v>
      </c>
      <c r="V7" s="305"/>
      <c r="W7" s="301" t="s">
        <v>183</v>
      </c>
      <c r="X7" s="302" t="s">
        <v>184</v>
      </c>
      <c r="Y7" s="303" t="s">
        <v>185</v>
      </c>
      <c r="Z7" s="304" t="s">
        <v>186</v>
      </c>
      <c r="AA7" s="305"/>
      <c r="AB7" s="301" t="s">
        <v>183</v>
      </c>
      <c r="AC7" s="302" t="s">
        <v>184</v>
      </c>
      <c r="AD7" s="303" t="s">
        <v>185</v>
      </c>
      <c r="AE7" s="304" t="s">
        <v>186</v>
      </c>
      <c r="AF7" s="1002"/>
      <c r="AG7" s="270"/>
      <c r="AH7" s="1004"/>
      <c r="AI7" s="1004"/>
      <c r="AJ7" s="270"/>
      <c r="AK7" s="1009" t="s">
        <v>187</v>
      </c>
      <c r="AL7" s="306"/>
      <c r="AM7" s="1010" t="s">
        <v>188</v>
      </c>
      <c r="AN7" s="270"/>
      <c r="AO7" s="307" t="s">
        <v>189</v>
      </c>
      <c r="AP7" s="307" t="s">
        <v>190</v>
      </c>
      <c r="AQ7" s="307" t="s">
        <v>191</v>
      </c>
      <c r="AR7" s="270"/>
      <c r="AS7" s="1008" t="s">
        <v>192</v>
      </c>
      <c r="AT7" s="1008"/>
      <c r="AU7" s="270"/>
      <c r="AV7" s="424"/>
      <c r="AW7" s="270"/>
      <c r="AX7" s="270"/>
      <c r="AY7" s="270"/>
      <c r="AZ7" s="270"/>
      <c r="BA7" s="270"/>
      <c r="BB7" s="270"/>
      <c r="BC7" s="270"/>
      <c r="BD7" s="270"/>
      <c r="BE7" s="270"/>
      <c r="BF7" s="270"/>
      <c r="BG7" s="270"/>
      <c r="BH7" s="270"/>
      <c r="BI7" s="270"/>
      <c r="BJ7" s="270"/>
      <c r="BK7" s="270"/>
      <c r="BL7" s="270"/>
      <c r="BM7" s="270"/>
      <c r="BN7" s="270"/>
      <c r="BO7" s="270"/>
    </row>
    <row r="8" spans="1:67" ht="14.4" thickBot="1">
      <c r="A8" s="1011"/>
      <c r="B8" s="1012"/>
      <c r="C8" s="308"/>
      <c r="D8" s="309" t="s">
        <v>193</v>
      </c>
      <c r="E8" s="310"/>
      <c r="F8" s="311"/>
      <c r="G8" s="311" t="s">
        <v>194</v>
      </c>
      <c r="H8" s="310" t="s">
        <v>193</v>
      </c>
      <c r="I8" s="312"/>
      <c r="J8" s="313"/>
      <c r="K8" s="314"/>
      <c r="L8" s="315"/>
      <c r="M8" s="295"/>
      <c r="N8" s="316"/>
      <c r="O8" s="283"/>
      <c r="P8" s="317"/>
      <c r="Q8" s="295"/>
      <c r="R8" s="318">
        <v>0</v>
      </c>
      <c r="S8" s="318">
        <v>2500000</v>
      </c>
      <c r="T8" s="319">
        <v>0.2</v>
      </c>
      <c r="U8" s="320"/>
      <c r="V8" s="321"/>
      <c r="W8" s="318">
        <v>2500000</v>
      </c>
      <c r="X8" s="318">
        <v>5000000</v>
      </c>
      <c r="Y8" s="319">
        <v>0.4</v>
      </c>
      <c r="Z8" s="322"/>
      <c r="AA8" s="321"/>
      <c r="AB8" s="318">
        <v>5000000</v>
      </c>
      <c r="AC8" s="318" t="s">
        <v>120</v>
      </c>
      <c r="AD8" s="319">
        <v>0.6</v>
      </c>
      <c r="AE8" s="322"/>
      <c r="AF8" s="1003"/>
      <c r="AG8" s="270"/>
      <c r="AH8" s="1005"/>
      <c r="AI8" s="1005"/>
      <c r="AJ8" s="270"/>
      <c r="AK8" s="1009"/>
      <c r="AL8" s="270"/>
      <c r="AM8" s="1010"/>
      <c r="AN8" s="270"/>
      <c r="AO8" s="270"/>
      <c r="AP8" s="270"/>
      <c r="AQ8" s="270"/>
      <c r="AR8" s="270"/>
      <c r="AS8" s="270"/>
      <c r="AT8" s="270"/>
      <c r="AU8" s="270"/>
      <c r="AV8" s="425"/>
      <c r="AW8" s="270"/>
      <c r="AX8" s="270"/>
      <c r="AY8" s="270"/>
      <c r="AZ8" s="270"/>
      <c r="BA8" s="270"/>
      <c r="BB8" s="270"/>
      <c r="BC8" s="270"/>
      <c r="BD8" s="270"/>
      <c r="BE8" s="270"/>
      <c r="BF8" s="270"/>
      <c r="BG8" s="270"/>
      <c r="BH8" s="270"/>
      <c r="BI8" s="270"/>
      <c r="BJ8" s="270"/>
      <c r="BK8" s="270"/>
      <c r="BL8" s="270"/>
      <c r="BM8" s="270"/>
      <c r="BN8" s="270"/>
      <c r="BO8" s="270"/>
    </row>
    <row r="9" spans="1:67" s="323" customFormat="1">
      <c r="A9" s="323" t="s">
        <v>196</v>
      </c>
      <c r="B9" s="324">
        <v>2016</v>
      </c>
      <c r="C9" s="325">
        <v>88334651</v>
      </c>
      <c r="D9" s="336">
        <v>0.23</v>
      </c>
      <c r="E9" s="337"/>
      <c r="F9" s="338">
        <v>80586073.333333328</v>
      </c>
      <c r="G9" s="339" t="s">
        <v>120</v>
      </c>
      <c r="H9" s="337"/>
      <c r="I9" s="340">
        <v>80067451.5</v>
      </c>
      <c r="J9" s="341" t="s">
        <v>120</v>
      </c>
      <c r="K9" s="330" t="s">
        <v>120</v>
      </c>
      <c r="L9" s="330" t="s">
        <v>120</v>
      </c>
      <c r="M9" s="330" t="s">
        <v>120</v>
      </c>
      <c r="N9" s="330" t="s">
        <v>120</v>
      </c>
      <c r="AM9" s="331"/>
      <c r="AU9" s="270"/>
      <c r="AV9" s="425"/>
      <c r="AW9" s="270"/>
      <c r="AX9" s="270"/>
      <c r="AY9" s="270"/>
      <c r="AZ9" s="270"/>
      <c r="BA9" s="270"/>
      <c r="BB9" s="270"/>
      <c r="BC9" s="270"/>
      <c r="BD9" s="270"/>
      <c r="BE9" s="270"/>
      <c r="BF9" s="270"/>
      <c r="BG9" s="270"/>
      <c r="BH9" s="270"/>
      <c r="BI9" s="270"/>
      <c r="BJ9" s="270"/>
      <c r="BK9" s="270"/>
      <c r="BL9" s="270"/>
      <c r="BM9" s="270"/>
      <c r="BN9" s="270"/>
      <c r="BO9" s="270"/>
    </row>
    <row r="10" spans="1:67">
      <c r="A10" s="270"/>
      <c r="B10" s="286">
        <v>2017</v>
      </c>
      <c r="C10" s="325">
        <v>78255015</v>
      </c>
      <c r="D10" s="332">
        <f t="shared" ref="D10:D15" si="0">C10/C9-1</f>
        <v>-0.1141073846547489</v>
      </c>
      <c r="E10" s="333"/>
      <c r="F10" s="272"/>
      <c r="G10" s="272"/>
      <c r="H10" s="333"/>
      <c r="I10" s="333"/>
      <c r="J10" s="333"/>
      <c r="K10" s="342"/>
      <c r="L10" s="342"/>
      <c r="M10" s="342"/>
      <c r="N10" s="342"/>
      <c r="O10" s="270"/>
      <c r="P10" s="270"/>
      <c r="Q10" s="305"/>
      <c r="R10" s="270"/>
      <c r="S10" s="270"/>
      <c r="T10" s="270"/>
      <c r="U10" s="270"/>
      <c r="V10" s="270"/>
      <c r="W10" s="343"/>
      <c r="X10" s="270"/>
      <c r="Y10" s="270"/>
      <c r="Z10" s="270"/>
      <c r="AA10" s="270"/>
      <c r="AB10" s="270"/>
      <c r="AC10" s="270"/>
      <c r="AD10" s="270"/>
      <c r="AE10" s="270"/>
      <c r="AF10" s="270"/>
      <c r="AG10" s="270"/>
      <c r="AH10" s="270"/>
      <c r="AI10" s="270"/>
      <c r="AJ10" s="270"/>
      <c r="AK10" s="270"/>
      <c r="AL10" s="270"/>
      <c r="AM10" s="273"/>
      <c r="AN10" s="270"/>
      <c r="AO10" s="270"/>
      <c r="AP10" s="270"/>
      <c r="AQ10" s="270"/>
      <c r="AR10" s="270"/>
      <c r="AS10" s="344">
        <v>2020</v>
      </c>
      <c r="AT10" s="344">
        <v>2021</v>
      </c>
      <c r="AU10" s="270"/>
      <c r="AV10" s="425"/>
      <c r="AW10" s="270"/>
      <c r="AX10" s="270"/>
      <c r="AY10" s="270"/>
      <c r="AZ10" s="270"/>
      <c r="BA10" s="270"/>
      <c r="BB10" s="270"/>
      <c r="BC10" s="270"/>
      <c r="BD10" s="270"/>
      <c r="BE10" s="270"/>
      <c r="BF10" s="270"/>
      <c r="BG10" s="270"/>
      <c r="BH10" s="270"/>
      <c r="BI10" s="270"/>
      <c r="BJ10" s="270"/>
      <c r="BK10" s="270"/>
      <c r="BL10" s="270"/>
      <c r="BM10" s="270"/>
      <c r="BN10" s="270"/>
      <c r="BO10" s="270"/>
    </row>
    <row r="11" spans="1:67" s="323" customFormat="1" ht="13.2">
      <c r="A11" s="323" t="s">
        <v>197</v>
      </c>
      <c r="B11" s="324">
        <v>2018</v>
      </c>
      <c r="C11" s="325">
        <v>85894828</v>
      </c>
      <c r="D11" s="336">
        <f t="shared" si="0"/>
        <v>9.7627136101117618E-2</v>
      </c>
      <c r="E11" s="336"/>
      <c r="F11" s="338">
        <v>84161498</v>
      </c>
      <c r="G11" s="338">
        <v>3575424.6666666716</v>
      </c>
      <c r="H11" s="336">
        <v>4.4367773720372428E-2</v>
      </c>
      <c r="I11" s="340">
        <f>AVERAGE(C10:C11)</f>
        <v>82074921.5</v>
      </c>
      <c r="J11" s="345">
        <f>I11-I9</f>
        <v>2007470</v>
      </c>
      <c r="K11" s="346">
        <v>0</v>
      </c>
      <c r="L11" s="338">
        <v>0</v>
      </c>
      <c r="M11" s="338">
        <v>0</v>
      </c>
      <c r="N11" s="347" t="s">
        <v>120</v>
      </c>
      <c r="P11" s="348">
        <v>2007470</v>
      </c>
      <c r="Q11" s="349"/>
      <c r="R11" s="350">
        <v>0</v>
      </c>
      <c r="S11" s="350">
        <v>2500000</v>
      </c>
      <c r="T11" s="351">
        <v>0.2</v>
      </c>
      <c r="U11" s="350">
        <v>2500000</v>
      </c>
      <c r="V11" s="349"/>
      <c r="W11" s="350">
        <v>2500000</v>
      </c>
      <c r="X11" s="350">
        <v>5000000</v>
      </c>
      <c r="Y11" s="351">
        <v>0.4</v>
      </c>
      <c r="Z11" s="350">
        <v>5000000</v>
      </c>
      <c r="AA11" s="349"/>
      <c r="AB11" s="352">
        <v>5000000</v>
      </c>
      <c r="AC11" s="352" t="s">
        <v>120</v>
      </c>
      <c r="AD11" s="351">
        <v>0.6</v>
      </c>
      <c r="AE11" s="350">
        <v>11154634.64624995</v>
      </c>
      <c r="AF11" s="353">
        <v>18654634.64624995</v>
      </c>
      <c r="AH11" s="354">
        <v>18654634.64624995</v>
      </c>
      <c r="AI11" s="354">
        <v>0</v>
      </c>
      <c r="AK11" s="355"/>
      <c r="AM11" s="356" t="s">
        <v>120</v>
      </c>
      <c r="AO11" s="355" t="s">
        <v>120</v>
      </c>
      <c r="AP11" s="409" t="s">
        <v>120</v>
      </c>
      <c r="AQ11" s="354" t="s">
        <v>120</v>
      </c>
      <c r="AR11" s="270"/>
      <c r="AS11" s="357" t="s">
        <v>120</v>
      </c>
      <c r="AT11" s="358" t="s">
        <v>120</v>
      </c>
      <c r="AU11" s="270"/>
      <c r="AV11" s="270"/>
      <c r="AW11" s="270"/>
      <c r="AX11" s="270"/>
      <c r="AY11" s="270"/>
      <c r="AZ11" s="270"/>
      <c r="BA11" s="270"/>
      <c r="BB11" s="270"/>
      <c r="BC11" s="270"/>
      <c r="BD11" s="270"/>
      <c r="BE11" s="270"/>
      <c r="BF11" s="270"/>
      <c r="BG11" s="270"/>
      <c r="BH11" s="270"/>
      <c r="BI11" s="270"/>
      <c r="BJ11" s="270"/>
      <c r="BK11" s="270"/>
      <c r="BL11" s="270"/>
      <c r="BM11" s="270"/>
      <c r="BN11" s="270"/>
      <c r="BO11" s="270"/>
    </row>
    <row r="12" spans="1:67" s="363" customFormat="1" ht="13.2">
      <c r="A12" s="359"/>
      <c r="B12" s="286">
        <v>2019</v>
      </c>
      <c r="C12" s="325">
        <v>86331205</v>
      </c>
      <c r="D12" s="332">
        <f t="shared" si="0"/>
        <v>5.0803640936332162E-3</v>
      </c>
      <c r="E12" s="360"/>
      <c r="F12" s="361"/>
      <c r="G12" s="361"/>
      <c r="H12" s="361"/>
      <c r="I12" s="361"/>
      <c r="J12" s="361"/>
      <c r="K12" s="362"/>
      <c r="M12" s="364"/>
      <c r="P12" s="365"/>
      <c r="Q12" s="305"/>
      <c r="R12" s="366"/>
      <c r="S12" s="366"/>
      <c r="T12" s="367"/>
      <c r="U12" s="366"/>
      <c r="V12" s="305"/>
      <c r="W12" s="366"/>
      <c r="X12" s="366"/>
      <c r="Y12" s="367"/>
      <c r="Z12" s="366"/>
      <c r="AA12" s="305"/>
      <c r="AB12" s="305"/>
      <c r="AC12" s="305"/>
      <c r="AD12" s="367"/>
      <c r="AE12" s="305"/>
      <c r="AF12" s="368"/>
      <c r="AM12" s="369"/>
      <c r="AS12" s="344">
        <v>2022</v>
      </c>
      <c r="AT12" s="344">
        <v>2023</v>
      </c>
    </row>
    <row r="13" spans="1:67" s="323" customFormat="1" ht="13.2">
      <c r="A13" s="323" t="s">
        <v>198</v>
      </c>
      <c r="B13" s="324">
        <v>2020</v>
      </c>
      <c r="C13" s="325">
        <f>274044431-144288842</f>
        <v>129755589</v>
      </c>
      <c r="D13" s="336">
        <f t="shared" si="0"/>
        <v>0.50299754300892707</v>
      </c>
      <c r="F13" s="338">
        <v>100660660.333333</v>
      </c>
      <c r="G13" s="338">
        <v>16499162.333333328</v>
      </c>
      <c r="H13" s="336">
        <v>0.19604169038594499</v>
      </c>
      <c r="I13" s="340">
        <f>AVERAGE(C12:C13)</f>
        <v>108043397</v>
      </c>
      <c r="J13" s="345">
        <f>I13-I11</f>
        <v>25968475.5</v>
      </c>
      <c r="K13" s="346">
        <v>5.1752129210649797E-2</v>
      </c>
      <c r="L13" s="338">
        <v>5209403.5</v>
      </c>
      <c r="M13" s="338">
        <v>10418807</v>
      </c>
      <c r="N13" s="338">
        <v>10418807</v>
      </c>
      <c r="P13" s="348">
        <v>25968655</v>
      </c>
      <c r="Q13" s="349"/>
      <c r="R13" s="350">
        <v>0</v>
      </c>
      <c r="S13" s="350">
        <v>2500000</v>
      </c>
      <c r="T13" s="351">
        <v>0.2</v>
      </c>
      <c r="U13" s="350">
        <v>500000</v>
      </c>
      <c r="V13" s="349"/>
      <c r="W13" s="350">
        <v>2500000</v>
      </c>
      <c r="X13" s="350">
        <v>5000000</v>
      </c>
      <c r="Y13" s="351">
        <v>0.4</v>
      </c>
      <c r="Z13" s="350">
        <v>1000000</v>
      </c>
      <c r="AA13" s="349"/>
      <c r="AB13" s="352">
        <v>5000000</v>
      </c>
      <c r="AC13" s="352" t="s">
        <v>120</v>
      </c>
      <c r="AD13" s="351">
        <v>0.6</v>
      </c>
      <c r="AE13" s="350">
        <v>12581193</v>
      </c>
      <c r="AF13" s="353">
        <v>14081193</v>
      </c>
      <c r="AH13" s="354">
        <v>24500000</v>
      </c>
      <c r="AI13" s="354">
        <v>0</v>
      </c>
      <c r="AK13" s="371"/>
      <c r="AM13" s="372">
        <f>AQ4*5%</f>
        <v>12692293.25</v>
      </c>
      <c r="AO13" s="355">
        <v>0</v>
      </c>
      <c r="AP13" s="409">
        <v>24500000</v>
      </c>
      <c r="AQ13" s="354">
        <v>0</v>
      </c>
      <c r="AR13" s="270"/>
      <c r="AS13" s="383">
        <v>12250000</v>
      </c>
      <c r="AT13" s="384">
        <v>12250000</v>
      </c>
      <c r="AU13" s="270"/>
      <c r="AV13" s="270"/>
    </row>
    <row r="14" spans="1:67" s="270" customFormat="1" thickBot="1">
      <c r="B14" s="286">
        <v>2021</v>
      </c>
      <c r="C14" s="325">
        <f>223854392-108547312</f>
        <v>115307080</v>
      </c>
      <c r="D14" s="332">
        <f t="shared" si="0"/>
        <v>-0.11135172759302103</v>
      </c>
      <c r="F14" s="272"/>
      <c r="G14" s="272"/>
      <c r="H14" s="333"/>
      <c r="I14" s="375"/>
      <c r="J14" s="285"/>
      <c r="K14" s="376"/>
      <c r="L14" s="272"/>
      <c r="M14" s="272"/>
      <c r="N14" s="272"/>
      <c r="P14" s="377"/>
      <c r="Q14" s="305"/>
      <c r="R14" s="366"/>
      <c r="S14" s="366"/>
      <c r="T14" s="367"/>
      <c r="U14" s="366"/>
      <c r="V14" s="305"/>
      <c r="W14" s="366"/>
      <c r="X14" s="366"/>
      <c r="Y14" s="367"/>
      <c r="Z14" s="366"/>
      <c r="AA14" s="305"/>
      <c r="AB14" s="378"/>
      <c r="AC14" s="378"/>
      <c r="AD14" s="367"/>
      <c r="AE14" s="366"/>
      <c r="AF14" s="368"/>
      <c r="AH14" s="342"/>
      <c r="AI14" s="342"/>
      <c r="AK14" s="364"/>
      <c r="AM14" s="379"/>
      <c r="AO14" s="285"/>
      <c r="AP14" s="380"/>
      <c r="AQ14" s="342"/>
      <c r="AS14" s="344">
        <v>2024</v>
      </c>
      <c r="AT14" s="344">
        <v>2025</v>
      </c>
    </row>
    <row r="15" spans="1:67" s="323" customFormat="1" thickBot="1">
      <c r="A15" s="323" t="s">
        <v>199</v>
      </c>
      <c r="B15" s="324">
        <v>2022</v>
      </c>
      <c r="C15" s="325">
        <f>154616591-25214918</f>
        <v>129401673</v>
      </c>
      <c r="D15" s="336">
        <f t="shared" si="0"/>
        <v>0.12223527818066326</v>
      </c>
      <c r="F15" s="338">
        <f>AVERAGE(C13:C15)</f>
        <v>124821447.33333333</v>
      </c>
      <c r="G15" s="338">
        <f>AVERAGE($C13:$C15)-AVERAGE($C11:$C13)</f>
        <v>24160906.666666657</v>
      </c>
      <c r="H15" s="337">
        <f>(SUM($C13:$C15)/SUM($C11:$C13))-1</f>
        <v>0.24002361309258746</v>
      </c>
      <c r="I15" s="340">
        <f>AVERAGE(C14:C15)</f>
        <v>122354376.5</v>
      </c>
      <c r="J15" s="345">
        <f>I15-I13</f>
        <v>14310979.5</v>
      </c>
      <c r="K15" s="381">
        <v>0.121696</v>
      </c>
      <c r="L15" s="338">
        <f>K15*F15</f>
        <v>15190270.854677333</v>
      </c>
      <c r="M15" s="338">
        <f>L15*2</f>
        <v>30380541.709354665</v>
      </c>
      <c r="N15" s="338">
        <f>M15-M13</f>
        <v>19961734.709354665</v>
      </c>
      <c r="P15" s="348">
        <f>J15</f>
        <v>14310979.5</v>
      </c>
      <c r="Q15" s="349"/>
      <c r="R15" s="350">
        <f>$R$8</f>
        <v>0</v>
      </c>
      <c r="S15" s="350">
        <f>$S$8</f>
        <v>2500000</v>
      </c>
      <c r="T15" s="351">
        <f>$T$8</f>
        <v>0.2</v>
      </c>
      <c r="U15" s="350">
        <f>IF(P15&gt;=S15,(S15-R15)*T15,MAX((P15-R15)*T15,0))</f>
        <v>500000</v>
      </c>
      <c r="V15" s="349"/>
      <c r="W15" s="350">
        <f>$W$8</f>
        <v>2500000</v>
      </c>
      <c r="X15" s="350">
        <f>$X$8</f>
        <v>5000000</v>
      </c>
      <c r="Y15" s="351">
        <f>$Y$8</f>
        <v>0.4</v>
      </c>
      <c r="Z15" s="350">
        <f>IF(P15&gt;=X15,(X15-W15)*Y15,MAX((P15-W15)*Y15,0))</f>
        <v>1000000</v>
      </c>
      <c r="AA15" s="349"/>
      <c r="AB15" s="352">
        <f>$AB$8</f>
        <v>5000000</v>
      </c>
      <c r="AC15" s="352" t="str">
        <f>$AC$8</f>
        <v>NA</v>
      </c>
      <c r="AD15" s="351">
        <f>$AD$8</f>
        <v>0.6</v>
      </c>
      <c r="AE15" s="350">
        <f>IF(P15&gt;=AC15,(AC15-AB15)*AD15,MAX((P15-AB15)*AD15,0))</f>
        <v>5586587.7000000002</v>
      </c>
      <c r="AF15" s="353">
        <f>U15+Z15+AE15</f>
        <v>7086587.7000000002</v>
      </c>
      <c r="AH15" s="354">
        <f>M15+AF15</f>
        <v>37467129.409354664</v>
      </c>
      <c r="AI15" s="354">
        <f>AH15-M3</f>
        <v>12967129.409354664</v>
      </c>
      <c r="AK15" s="371"/>
      <c r="AM15" s="372">
        <f>AQ5*5%</f>
        <v>13392592.299320374</v>
      </c>
      <c r="AO15" s="355">
        <f>IF(AI15&gt;AM15,AM15,AI15)</f>
        <v>12967129.409354664</v>
      </c>
      <c r="AP15" s="382">
        <f>AS15+AT15</f>
        <v>37467052</v>
      </c>
      <c r="AQ15" s="354">
        <f>AP15-M3</f>
        <v>12967052</v>
      </c>
      <c r="AR15" s="270"/>
      <c r="AS15" s="383">
        <f>18733526</f>
        <v>18733526</v>
      </c>
      <c r="AT15" s="384">
        <f>AS15</f>
        <v>18733526</v>
      </c>
      <c r="AU15" s="270"/>
      <c r="AV15" s="270"/>
    </row>
    <row r="16" spans="1:67" s="363" customFormat="1" ht="13.2">
      <c r="B16" s="386"/>
      <c r="C16" s="361"/>
      <c r="F16" s="361"/>
      <c r="G16" s="361"/>
      <c r="AM16" s="369"/>
    </row>
    <row r="17" spans="1:48" s="363" customFormat="1" ht="12.75" customHeight="1">
      <c r="A17" s="1034" t="s">
        <v>212</v>
      </c>
      <c r="B17" s="1034"/>
      <c r="C17" s="1034"/>
      <c r="D17" s="1034"/>
      <c r="E17" s="1034"/>
      <c r="F17" s="1034"/>
      <c r="G17" s="1034"/>
      <c r="H17" s="1034"/>
      <c r="I17" s="1034"/>
      <c r="J17" s="1034"/>
      <c r="K17" s="1034"/>
      <c r="L17" s="1034"/>
      <c r="M17" s="1034"/>
      <c r="N17" s="1034"/>
      <c r="O17" s="1034"/>
      <c r="P17" s="1034"/>
      <c r="Q17" s="1034"/>
      <c r="R17" s="1034"/>
      <c r="S17" s="1034"/>
      <c r="W17" s="364"/>
      <c r="AM17" s="426"/>
      <c r="AO17" s="270"/>
      <c r="AP17" s="427"/>
      <c r="AQ17" s="364"/>
    </row>
    <row r="18" spans="1:48" s="363" customFormat="1" ht="18.75" customHeight="1">
      <c r="A18" s="1034"/>
      <c r="B18" s="1034"/>
      <c r="C18" s="1034"/>
      <c r="D18" s="1034"/>
      <c r="E18" s="1034"/>
      <c r="F18" s="1034"/>
      <c r="G18" s="1034"/>
      <c r="H18" s="1034"/>
      <c r="I18" s="1034"/>
      <c r="J18" s="1034"/>
      <c r="K18" s="1034"/>
      <c r="L18" s="1034"/>
      <c r="M18" s="1034"/>
      <c r="N18" s="1034"/>
      <c r="O18" s="1034"/>
      <c r="P18" s="1034"/>
      <c r="Q18" s="1034"/>
      <c r="R18" s="1034"/>
      <c r="S18" s="1034"/>
      <c r="W18" s="364"/>
      <c r="AM18" s="428"/>
      <c r="AP18" s="364"/>
    </row>
    <row r="19" spans="1:48" s="363" customFormat="1" thickBot="1">
      <c r="B19" s="386"/>
      <c r="C19" s="361"/>
      <c r="F19" s="361"/>
      <c r="G19" s="361"/>
      <c r="AM19" s="369"/>
    </row>
    <row r="20" spans="1:48" ht="32.25" customHeight="1" thickBot="1">
      <c r="A20" s="969" t="s">
        <v>213</v>
      </c>
      <c r="B20" s="970"/>
      <c r="C20" s="970"/>
      <c r="D20" s="970"/>
      <c r="E20" s="970"/>
      <c r="F20" s="970"/>
      <c r="G20" s="970"/>
      <c r="H20" s="970"/>
      <c r="I20" s="970"/>
      <c r="J20" s="970"/>
      <c r="K20" s="971"/>
      <c r="L20" s="274" t="s">
        <v>207</v>
      </c>
      <c r="M20" s="275">
        <v>20691695</v>
      </c>
      <c r="N20" s="387" t="s">
        <v>151</v>
      </c>
      <c r="O20" s="270"/>
      <c r="P20" s="270"/>
      <c r="Q20" s="270"/>
      <c r="R20" s="270"/>
      <c r="S20" s="342"/>
      <c r="T20" s="270"/>
      <c r="U20" s="270"/>
      <c r="V20" s="270"/>
      <c r="W20" s="342"/>
      <c r="X20" s="270"/>
      <c r="Y20" s="270"/>
      <c r="Z20" s="270"/>
      <c r="AA20" s="270"/>
      <c r="AB20" s="270"/>
      <c r="AC20" s="270"/>
      <c r="AD20" s="270"/>
      <c r="AE20" s="270"/>
      <c r="AF20" s="270"/>
      <c r="AG20" s="270"/>
      <c r="AH20" s="270"/>
      <c r="AI20" s="270"/>
      <c r="AJ20" s="270"/>
      <c r="AK20" s="270"/>
      <c r="AL20" s="270"/>
      <c r="AM20" s="273"/>
      <c r="AN20" s="270"/>
      <c r="AO20" s="285"/>
      <c r="AP20" s="270"/>
      <c r="AQ20" s="342"/>
      <c r="AR20" s="270"/>
      <c r="AS20" s="270"/>
      <c r="AT20" s="270"/>
      <c r="AU20" s="270"/>
      <c r="AV20" s="270"/>
    </row>
    <row r="21" spans="1:48" ht="31.5" customHeight="1" thickBot="1">
      <c r="A21" s="972"/>
      <c r="B21" s="973"/>
      <c r="C21" s="973"/>
      <c r="D21" s="973"/>
      <c r="E21" s="973"/>
      <c r="F21" s="973"/>
      <c r="G21" s="973"/>
      <c r="H21" s="973"/>
      <c r="I21" s="973"/>
      <c r="J21" s="973"/>
      <c r="K21" s="974"/>
      <c r="L21" s="277" t="s">
        <v>152</v>
      </c>
      <c r="M21" s="278">
        <v>20691695</v>
      </c>
      <c r="N21" s="388">
        <v>0</v>
      </c>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270"/>
      <c r="AL21" s="270"/>
      <c r="AM21" s="273"/>
      <c r="AN21" s="270"/>
      <c r="AO21" s="270"/>
      <c r="AP21" s="270"/>
      <c r="AQ21" s="270"/>
      <c r="AR21" s="270"/>
      <c r="AS21" s="1035"/>
      <c r="AT21" s="1035"/>
      <c r="AU21" s="270"/>
      <c r="AV21" s="270"/>
    </row>
    <row r="22" spans="1:48" ht="18" customHeight="1" thickBot="1">
      <c r="A22" s="270"/>
      <c r="B22" s="280"/>
      <c r="C22" s="975" t="s">
        <v>153</v>
      </c>
      <c r="D22" s="976"/>
      <c r="E22" s="976"/>
      <c r="F22" s="976"/>
      <c r="G22" s="976"/>
      <c r="H22" s="1013"/>
      <c r="I22" s="281"/>
      <c r="J22" s="282"/>
      <c r="K22" s="979" t="s">
        <v>154</v>
      </c>
      <c r="L22" s="980"/>
      <c r="M22" s="980"/>
      <c r="N22" s="1015"/>
      <c r="O22" s="270"/>
      <c r="P22" s="983" t="s">
        <v>155</v>
      </c>
      <c r="Q22" s="984"/>
      <c r="R22" s="984"/>
      <c r="S22" s="984"/>
      <c r="T22" s="984"/>
      <c r="U22" s="984"/>
      <c r="V22" s="984"/>
      <c r="W22" s="984"/>
      <c r="X22" s="984"/>
      <c r="Y22" s="984"/>
      <c r="Z22" s="984"/>
      <c r="AA22" s="984"/>
      <c r="AB22" s="984"/>
      <c r="AC22" s="984"/>
      <c r="AD22" s="984"/>
      <c r="AE22" s="984"/>
      <c r="AF22" s="985"/>
      <c r="AG22" s="270"/>
      <c r="AH22" s="986" t="s">
        <v>156</v>
      </c>
      <c r="AI22" s="985"/>
      <c r="AJ22" s="270"/>
      <c r="AK22" s="1007" t="s">
        <v>157</v>
      </c>
      <c r="AL22" s="1007"/>
      <c r="AM22" s="1007"/>
      <c r="AN22" s="270"/>
      <c r="AO22" s="1032" t="s">
        <v>158</v>
      </c>
      <c r="AP22" s="1032"/>
      <c r="AQ22" s="284">
        <v>164417806</v>
      </c>
      <c r="AR22" s="285"/>
      <c r="AU22" s="270"/>
      <c r="AV22" s="270"/>
    </row>
    <row r="23" spans="1:48" ht="18" customHeight="1" thickBot="1">
      <c r="A23" s="270"/>
      <c r="B23" s="286"/>
      <c r="C23" s="977"/>
      <c r="D23" s="978"/>
      <c r="E23" s="978"/>
      <c r="F23" s="978"/>
      <c r="G23" s="978"/>
      <c r="H23" s="1014"/>
      <c r="I23" s="287"/>
      <c r="J23" s="288"/>
      <c r="K23" s="979"/>
      <c r="L23" s="980"/>
      <c r="M23" s="980"/>
      <c r="N23" s="1015"/>
      <c r="O23" s="270"/>
      <c r="P23" s="997" t="s">
        <v>159</v>
      </c>
      <c r="Q23" s="270"/>
      <c r="R23" s="999" t="s">
        <v>160</v>
      </c>
      <c r="S23" s="1000"/>
      <c r="T23" s="1000"/>
      <c r="U23" s="1001"/>
      <c r="V23" s="289"/>
      <c r="W23" s="999" t="s">
        <v>161</v>
      </c>
      <c r="X23" s="1000"/>
      <c r="Y23" s="1000"/>
      <c r="Z23" s="1001"/>
      <c r="AA23" s="289"/>
      <c r="AB23" s="999" t="s">
        <v>162</v>
      </c>
      <c r="AC23" s="1000"/>
      <c r="AD23" s="1000"/>
      <c r="AE23" s="1001"/>
      <c r="AF23" s="1002" t="s">
        <v>163</v>
      </c>
      <c r="AG23" s="270"/>
      <c r="AH23" s="1004" t="s">
        <v>164</v>
      </c>
      <c r="AI23" s="1004" t="s">
        <v>165</v>
      </c>
      <c r="AJ23" s="270"/>
      <c r="AK23" s="1007"/>
      <c r="AL23" s="1007"/>
      <c r="AM23" s="1007"/>
      <c r="AN23" s="270"/>
      <c r="AO23" s="1033" t="s">
        <v>166</v>
      </c>
      <c r="AP23" s="1033"/>
      <c r="AQ23" s="389">
        <f>'Governor Calculation'!D9</f>
        <v>172078827.15403539</v>
      </c>
      <c r="AR23" s="270"/>
      <c r="AS23" s="270"/>
      <c r="AT23" s="270"/>
      <c r="AU23" s="270"/>
      <c r="AV23" s="270"/>
    </row>
    <row r="24" spans="1:48" ht="13.5" customHeight="1" thickBot="1">
      <c r="A24" s="270"/>
      <c r="B24" s="286"/>
      <c r="C24" s="987" t="s">
        <v>167</v>
      </c>
      <c r="D24" s="988"/>
      <c r="E24" s="292"/>
      <c r="F24" s="1038" t="s">
        <v>168</v>
      </c>
      <c r="G24" s="1023" t="s">
        <v>151</v>
      </c>
      <c r="H24" s="1024"/>
      <c r="I24" s="994" t="s">
        <v>170</v>
      </c>
      <c r="J24" s="995"/>
      <c r="K24" s="981"/>
      <c r="L24" s="982"/>
      <c r="M24" s="982"/>
      <c r="N24" s="1016"/>
      <c r="O24" s="270"/>
      <c r="P24" s="998"/>
      <c r="Q24" s="270"/>
      <c r="R24" s="999" t="s">
        <v>214</v>
      </c>
      <c r="S24" s="1000"/>
      <c r="T24" s="1000"/>
      <c r="U24" s="1001"/>
      <c r="V24" s="289"/>
      <c r="W24" s="999" t="s">
        <v>215</v>
      </c>
      <c r="X24" s="1000"/>
      <c r="Y24" s="1000"/>
      <c r="Z24" s="1001"/>
      <c r="AA24" s="289"/>
      <c r="AB24" s="999" t="s">
        <v>216</v>
      </c>
      <c r="AC24" s="1000"/>
      <c r="AD24" s="1000"/>
      <c r="AE24" s="1001"/>
      <c r="AF24" s="1002"/>
      <c r="AG24" s="270"/>
      <c r="AH24" s="1004"/>
      <c r="AI24" s="1004"/>
      <c r="AJ24" s="270"/>
      <c r="AK24" s="1007"/>
      <c r="AL24" s="1007"/>
      <c r="AM24" s="1007"/>
      <c r="AN24" s="270"/>
      <c r="AO24" s="270"/>
      <c r="AP24" s="270"/>
      <c r="AQ24" s="270"/>
      <c r="AR24" s="270"/>
      <c r="AS24" s="1036" t="s">
        <v>217</v>
      </c>
      <c r="AT24" s="1037"/>
      <c r="AU24" s="270"/>
      <c r="AV24" s="270"/>
    </row>
    <row r="25" spans="1:48" ht="43.5" customHeight="1" thickBot="1">
      <c r="A25" s="293" t="s">
        <v>203</v>
      </c>
      <c r="B25" s="294" t="s">
        <v>176</v>
      </c>
      <c r="C25" s="989"/>
      <c r="D25" s="990"/>
      <c r="E25" s="295"/>
      <c r="F25" s="1039"/>
      <c r="G25" s="1025"/>
      <c r="H25" s="1026"/>
      <c r="I25" s="296" t="s">
        <v>177</v>
      </c>
      <c r="J25" s="297" t="s">
        <v>151</v>
      </c>
      <c r="K25" s="298" t="s">
        <v>179</v>
      </c>
      <c r="L25" s="299" t="s">
        <v>180</v>
      </c>
      <c r="M25" s="299" t="s">
        <v>181</v>
      </c>
      <c r="N25" s="390" t="s">
        <v>182</v>
      </c>
      <c r="O25" s="270"/>
      <c r="P25" s="998"/>
      <c r="Q25" s="270"/>
      <c r="R25" s="301" t="s">
        <v>183</v>
      </c>
      <c r="S25" s="302" t="s">
        <v>184</v>
      </c>
      <c r="T25" s="303" t="s">
        <v>185</v>
      </c>
      <c r="U25" s="304" t="s">
        <v>186</v>
      </c>
      <c r="V25" s="305"/>
      <c r="W25" s="301" t="s">
        <v>183</v>
      </c>
      <c r="X25" s="302" t="s">
        <v>184</v>
      </c>
      <c r="Y25" s="303" t="s">
        <v>185</v>
      </c>
      <c r="Z25" s="304" t="s">
        <v>186</v>
      </c>
      <c r="AA25" s="305"/>
      <c r="AB25" s="301" t="s">
        <v>183</v>
      </c>
      <c r="AC25" s="302" t="s">
        <v>184</v>
      </c>
      <c r="AD25" s="303" t="s">
        <v>185</v>
      </c>
      <c r="AE25" s="304" t="s">
        <v>186</v>
      </c>
      <c r="AF25" s="1002"/>
      <c r="AG25" s="270"/>
      <c r="AH25" s="1004"/>
      <c r="AI25" s="1004"/>
      <c r="AJ25" s="270"/>
      <c r="AK25" s="1009" t="s">
        <v>187</v>
      </c>
      <c r="AL25" s="306"/>
      <c r="AM25" s="1010" t="s">
        <v>188</v>
      </c>
      <c r="AN25" s="270"/>
      <c r="AO25" s="307" t="s">
        <v>189</v>
      </c>
      <c r="AP25" s="307" t="s">
        <v>190</v>
      </c>
      <c r="AQ25" s="307" t="s">
        <v>191</v>
      </c>
      <c r="AR25" s="270"/>
      <c r="AS25" s="1008" t="s">
        <v>192</v>
      </c>
      <c r="AT25" s="1008"/>
      <c r="AU25" s="270"/>
      <c r="AV25" s="270"/>
    </row>
    <row r="26" spans="1:48" ht="22.5" customHeight="1" thickBot="1">
      <c r="A26" s="1011"/>
      <c r="B26" s="1012"/>
      <c r="C26" s="391"/>
      <c r="D26" s="309" t="s">
        <v>193</v>
      </c>
      <c r="E26" s="310"/>
      <c r="F26" s="311"/>
      <c r="G26" s="311" t="s">
        <v>194</v>
      </c>
      <c r="H26" s="392" t="s">
        <v>193</v>
      </c>
      <c r="I26" s="312"/>
      <c r="J26" s="313"/>
      <c r="K26" s="314"/>
      <c r="L26" s="315"/>
      <c r="M26" s="295"/>
      <c r="N26" s="393"/>
      <c r="O26" s="270"/>
      <c r="P26" s="317"/>
      <c r="Q26" s="295"/>
      <c r="R26" s="318">
        <v>0</v>
      </c>
      <c r="S26" s="318">
        <v>1500000</v>
      </c>
      <c r="T26" s="319">
        <v>0.2</v>
      </c>
      <c r="U26" s="320"/>
      <c r="V26" s="321"/>
      <c r="W26" s="318">
        <v>1500000</v>
      </c>
      <c r="X26" s="318">
        <v>3000000</v>
      </c>
      <c r="Y26" s="319">
        <v>0.4</v>
      </c>
      <c r="Z26" s="322"/>
      <c r="AA26" s="321"/>
      <c r="AB26" s="318">
        <v>3000000</v>
      </c>
      <c r="AC26" s="318" t="s">
        <v>120</v>
      </c>
      <c r="AD26" s="319">
        <v>0.6</v>
      </c>
      <c r="AE26" s="322"/>
      <c r="AF26" s="1003"/>
      <c r="AG26" s="270"/>
      <c r="AH26" s="1005"/>
      <c r="AI26" s="1005"/>
      <c r="AJ26" s="270"/>
      <c r="AK26" s="1009"/>
      <c r="AL26" s="270"/>
      <c r="AM26" s="1010"/>
      <c r="AN26" s="270"/>
      <c r="AO26" s="270"/>
      <c r="AP26" s="270"/>
      <c r="AQ26" s="270"/>
      <c r="AR26" s="270"/>
      <c r="AS26" s="394"/>
      <c r="AT26" s="394"/>
      <c r="AU26" s="270"/>
      <c r="AV26" s="270"/>
    </row>
    <row r="27" spans="1:48">
      <c r="A27" s="323" t="s">
        <v>196</v>
      </c>
      <c r="B27" s="324">
        <v>2016</v>
      </c>
      <c r="C27" s="325">
        <v>38513661</v>
      </c>
      <c r="D27" s="336">
        <v>0.20771808073425291</v>
      </c>
      <c r="E27" s="337"/>
      <c r="F27" s="338">
        <v>34200526.666666664</v>
      </c>
      <c r="G27" s="339" t="s">
        <v>120</v>
      </c>
      <c r="H27" s="327" t="s">
        <v>120</v>
      </c>
      <c r="I27" s="395">
        <v>35201636.5</v>
      </c>
      <c r="J27" s="396" t="s">
        <v>120</v>
      </c>
      <c r="K27" s="330" t="s">
        <v>120</v>
      </c>
      <c r="L27" s="330" t="s">
        <v>120</v>
      </c>
      <c r="M27" s="330" t="s">
        <v>120</v>
      </c>
      <c r="N27" s="330" t="s">
        <v>120</v>
      </c>
      <c r="O27" s="323"/>
      <c r="P27" s="323"/>
      <c r="Q27" s="323"/>
      <c r="R27" s="323"/>
      <c r="S27" s="323"/>
      <c r="T27" s="323"/>
      <c r="U27" s="323"/>
      <c r="V27" s="323"/>
      <c r="W27" s="323"/>
      <c r="X27" s="323"/>
      <c r="Y27" s="323"/>
      <c r="Z27" s="323"/>
      <c r="AA27" s="323"/>
      <c r="AB27" s="323"/>
      <c r="AC27" s="323"/>
      <c r="AD27" s="323"/>
      <c r="AE27" s="323"/>
      <c r="AF27" s="323"/>
      <c r="AG27" s="323"/>
      <c r="AH27" s="323"/>
      <c r="AI27" s="323"/>
      <c r="AJ27" s="323"/>
      <c r="AK27" s="323"/>
      <c r="AL27" s="323"/>
      <c r="AM27" s="331"/>
      <c r="AN27" s="323"/>
      <c r="AO27" s="323"/>
      <c r="AP27" s="323"/>
      <c r="AQ27" s="323"/>
      <c r="AR27" s="323"/>
      <c r="AS27" s="323"/>
      <c r="AT27" s="323"/>
      <c r="AU27" s="270"/>
      <c r="AV27" s="270"/>
    </row>
    <row r="28" spans="1:48">
      <c r="A28" s="270"/>
      <c r="B28" s="286">
        <v>2017</v>
      </c>
      <c r="C28" s="325">
        <v>37022877</v>
      </c>
      <c r="D28" s="332">
        <f t="shared" ref="D28:D33" si="1">C28/C27-1</f>
        <v>-3.8707927558483735E-2</v>
      </c>
      <c r="E28" s="333"/>
      <c r="F28" s="272"/>
      <c r="G28" s="272"/>
      <c r="H28" s="333"/>
      <c r="I28" s="334"/>
      <c r="J28" s="334"/>
      <c r="K28" s="270"/>
      <c r="L28" s="270"/>
      <c r="M28" s="270"/>
      <c r="N28" s="270"/>
      <c r="O28" s="270"/>
      <c r="P28" s="270"/>
      <c r="Q28" s="289"/>
      <c r="R28" s="270"/>
      <c r="S28" s="342"/>
      <c r="T28" s="270"/>
      <c r="U28" s="270"/>
      <c r="V28" s="270"/>
      <c r="W28" s="335"/>
      <c r="X28" s="270"/>
      <c r="Y28" s="270"/>
      <c r="Z28" s="270"/>
      <c r="AA28" s="270"/>
      <c r="AB28" s="270"/>
      <c r="AC28" s="270"/>
      <c r="AD28" s="270"/>
      <c r="AE28" s="270"/>
      <c r="AF28" s="270"/>
      <c r="AG28" s="270"/>
      <c r="AH28" s="270"/>
      <c r="AI28" s="270"/>
      <c r="AJ28" s="270"/>
      <c r="AK28" s="270"/>
      <c r="AL28" s="270"/>
      <c r="AM28" s="273"/>
      <c r="AN28" s="270"/>
      <c r="AO28" s="270"/>
      <c r="AP28" s="270"/>
      <c r="AQ28" s="270"/>
      <c r="AR28" s="270"/>
      <c r="AS28" s="344">
        <v>2020</v>
      </c>
      <c r="AT28" s="344">
        <v>2021</v>
      </c>
      <c r="AU28" s="270"/>
      <c r="AV28" s="270"/>
    </row>
    <row r="29" spans="1:48">
      <c r="A29" s="323" t="s">
        <v>197</v>
      </c>
      <c r="B29" s="324">
        <v>2018</v>
      </c>
      <c r="C29" s="325">
        <v>37242408</v>
      </c>
      <c r="D29" s="336">
        <f t="shared" si="1"/>
        <v>5.929604012135492E-3</v>
      </c>
      <c r="E29" s="337"/>
      <c r="F29" s="338">
        <f>AVERAGE(C27:C29)</f>
        <v>37592982</v>
      </c>
      <c r="G29" s="339">
        <f>F29-F27</f>
        <v>3392455.3333333358</v>
      </c>
      <c r="H29" s="337">
        <f>G29/F27</f>
        <v>9.9193072855213421E-2</v>
      </c>
      <c r="I29" s="340">
        <f>AVERAGE(C28:C29)</f>
        <v>37132642.5</v>
      </c>
      <c r="J29" s="397">
        <f>I29-I27</f>
        <v>1931006</v>
      </c>
      <c r="K29" s="346">
        <v>0</v>
      </c>
      <c r="L29" s="398">
        <f>K29*F29</f>
        <v>0</v>
      </c>
      <c r="M29" s="398">
        <f>L29*2</f>
        <v>0</v>
      </c>
      <c r="N29" s="399" t="s">
        <v>120</v>
      </c>
      <c r="O29" s="323"/>
      <c r="P29" s="400">
        <f>J29</f>
        <v>1931006</v>
      </c>
      <c r="Q29" s="401"/>
      <c r="R29" s="402">
        <f>$R$26</f>
        <v>0</v>
      </c>
      <c r="S29" s="402">
        <f>$S$26</f>
        <v>1500000</v>
      </c>
      <c r="T29" s="403">
        <f>$T$26</f>
        <v>0.2</v>
      </c>
      <c r="U29" s="402">
        <f>IF(P29&gt;=S29,(S29-R29)*T29,MAX((P29-R29)*T29,0))</f>
        <v>300000</v>
      </c>
      <c r="V29" s="401"/>
      <c r="W29" s="402">
        <f>$W$26</f>
        <v>1500000</v>
      </c>
      <c r="X29" s="402">
        <f>$X$26</f>
        <v>3000000</v>
      </c>
      <c r="Y29" s="403">
        <f>$Y$26</f>
        <v>0.4</v>
      </c>
      <c r="Z29" s="404">
        <f>IF(P29&gt;=X29,(X29-W29)*Y29,MAX((P29-W29)*Y29,0))</f>
        <v>172402.40000000002</v>
      </c>
      <c r="AA29" s="401"/>
      <c r="AB29" s="402">
        <f>$AB$26</f>
        <v>3000000</v>
      </c>
      <c r="AC29" s="402" t="str">
        <f>$AC$26</f>
        <v>NA</v>
      </c>
      <c r="AD29" s="403">
        <f>$AD$26</f>
        <v>0.6</v>
      </c>
      <c r="AE29" s="402">
        <f>IF(P29&gt;=AC29,(AC29-AB29)*AD29,MAX((P29-AB29)*AD29,0))</f>
        <v>0</v>
      </c>
      <c r="AF29" s="405">
        <f>U29+Z29+AE29</f>
        <v>472402.4</v>
      </c>
      <c r="AG29" s="323"/>
      <c r="AH29" s="406">
        <f>M29+AF29</f>
        <v>472402.4</v>
      </c>
      <c r="AI29" s="407">
        <v>0</v>
      </c>
      <c r="AJ29" s="323"/>
      <c r="AK29" s="323"/>
      <c r="AL29" s="323"/>
      <c r="AM29" s="408" t="s">
        <v>120</v>
      </c>
      <c r="AN29" s="323"/>
      <c r="AO29" s="406" t="s">
        <v>120</v>
      </c>
      <c r="AP29" s="406" t="s">
        <v>120</v>
      </c>
      <c r="AQ29" s="406" t="s">
        <v>120</v>
      </c>
      <c r="AR29" s="270"/>
      <c r="AS29" s="374" t="s">
        <v>120</v>
      </c>
      <c r="AT29" s="374" t="s">
        <v>120</v>
      </c>
      <c r="AU29" s="270"/>
      <c r="AV29" s="270"/>
    </row>
    <row r="30" spans="1:48">
      <c r="A30" s="359"/>
      <c r="B30" s="286">
        <v>2019</v>
      </c>
      <c r="C30" s="325">
        <v>36325658</v>
      </c>
      <c r="D30" s="332">
        <f t="shared" si="1"/>
        <v>-2.4615755243323711E-2</v>
      </c>
      <c r="E30" s="333"/>
      <c r="F30" s="272"/>
      <c r="G30" s="272"/>
      <c r="H30" s="333"/>
      <c r="I30" s="333"/>
      <c r="J30" s="333"/>
      <c r="K30" s="342"/>
      <c r="L30" s="342"/>
      <c r="M30" s="342"/>
      <c r="N30" s="342"/>
      <c r="O30" s="270"/>
      <c r="P30" s="270"/>
      <c r="Q30" s="305"/>
      <c r="R30" s="270"/>
      <c r="S30" s="270"/>
      <c r="T30" s="270"/>
      <c r="U30" s="270"/>
      <c r="V30" s="270"/>
      <c r="W30" s="343"/>
      <c r="X30" s="270"/>
      <c r="Y30" s="270"/>
      <c r="Z30" s="270"/>
      <c r="AA30" s="270"/>
      <c r="AB30" s="270"/>
      <c r="AC30" s="270"/>
      <c r="AD30" s="270"/>
      <c r="AE30" s="270"/>
      <c r="AF30" s="270"/>
      <c r="AG30" s="270"/>
      <c r="AH30" s="270"/>
      <c r="AI30" s="270"/>
      <c r="AJ30" s="270"/>
      <c r="AK30" s="270"/>
      <c r="AL30" s="270"/>
      <c r="AM30" s="273"/>
      <c r="AN30" s="270"/>
      <c r="AO30" s="270"/>
      <c r="AP30" s="270"/>
      <c r="AQ30" s="270"/>
      <c r="AR30" s="270"/>
      <c r="AS30" s="344">
        <v>2022</v>
      </c>
      <c r="AT30" s="344">
        <v>2023</v>
      </c>
    </row>
    <row r="31" spans="1:48">
      <c r="A31" s="323" t="s">
        <v>198</v>
      </c>
      <c r="B31" s="324">
        <v>2020</v>
      </c>
      <c r="C31" s="325">
        <v>35017419</v>
      </c>
      <c r="D31" s="336">
        <f t="shared" si="1"/>
        <v>-3.6014185895820505E-2</v>
      </c>
      <c r="E31" s="336"/>
      <c r="F31" s="338">
        <f>AVERAGE(C29:C31)</f>
        <v>36195161.666666664</v>
      </c>
      <c r="G31" s="338">
        <f>AVERAGE($C29:$C31)-AVERAGE($C27:$C29)</f>
        <v>-1397820.3333333358</v>
      </c>
      <c r="H31" s="337">
        <f>(SUM($C29:$C31)/SUM($C27:$C29))-1</f>
        <v>-3.7183012864830278E-2</v>
      </c>
      <c r="I31" s="340">
        <f>AVERAGE(C30:C31)</f>
        <v>35671538.5</v>
      </c>
      <c r="J31" s="345">
        <f>I31-I29</f>
        <v>-1461104</v>
      </c>
      <c r="K31" s="346">
        <f>L31/F31</f>
        <v>0.28583509573125726</v>
      </c>
      <c r="L31" s="338">
        <f>(M21/2)-(AF31/2)</f>
        <v>10345847.5</v>
      </c>
      <c r="M31" s="338">
        <f>L31*2</f>
        <v>20691695</v>
      </c>
      <c r="N31" s="347">
        <f>M31-M29</f>
        <v>20691695</v>
      </c>
      <c r="O31" s="323"/>
      <c r="P31" s="348">
        <f>J31</f>
        <v>-1461104</v>
      </c>
      <c r="Q31" s="349"/>
      <c r="R31" s="350">
        <f>$R$26</f>
        <v>0</v>
      </c>
      <c r="S31" s="350">
        <f>$S$26</f>
        <v>1500000</v>
      </c>
      <c r="T31" s="351">
        <f>$T$26</f>
        <v>0.2</v>
      </c>
      <c r="U31" s="350">
        <f>IF(P31&gt;=S31,(S31-R31)*T31,MAX((P31-R31)*T31,0))</f>
        <v>0</v>
      </c>
      <c r="V31" s="349"/>
      <c r="W31" s="350">
        <f>$W$26</f>
        <v>1500000</v>
      </c>
      <c r="X31" s="350">
        <f>$X$26</f>
        <v>3000000</v>
      </c>
      <c r="Y31" s="351">
        <f>$Y$26</f>
        <v>0.4</v>
      </c>
      <c r="Z31" s="350">
        <f>IF(P31&gt;=X31,(X31-W31)*Y31,MAX((P31-W31)*Y31,0))</f>
        <v>0</v>
      </c>
      <c r="AA31" s="349"/>
      <c r="AB31" s="352">
        <f>$AB$26</f>
        <v>3000000</v>
      </c>
      <c r="AC31" s="352" t="str">
        <f>$AC$26</f>
        <v>NA</v>
      </c>
      <c r="AD31" s="351">
        <f>$AD$26</f>
        <v>0.6</v>
      </c>
      <c r="AE31" s="350">
        <f>IF(P31&gt;=AC31,(AC31-AB31)*AD31,MAX((P31-AB31)*AD31,0))</f>
        <v>0</v>
      </c>
      <c r="AF31" s="353">
        <f>U31+Z31+AE31</f>
        <v>0</v>
      </c>
      <c r="AG31" s="323"/>
      <c r="AH31" s="354">
        <f>M31+AF31</f>
        <v>20691695</v>
      </c>
      <c r="AI31" s="354">
        <f>AH31-M20</f>
        <v>0</v>
      </c>
      <c r="AJ31" s="323"/>
      <c r="AK31" s="355"/>
      <c r="AL31" s="323"/>
      <c r="AM31" s="356">
        <f>AQ22*5%</f>
        <v>8220890.3000000007</v>
      </c>
      <c r="AN31" s="323"/>
      <c r="AO31" s="355">
        <f>IF(AI31&gt;AM31,AM31,AI31)</f>
        <v>0</v>
      </c>
      <c r="AP31" s="409">
        <f>ROUND(IF(AH31&gt;(M20+AM31),(M20+AM31),AH31),0)</f>
        <v>20691695</v>
      </c>
      <c r="AQ31" s="354">
        <f>AP31-M20</f>
        <v>0</v>
      </c>
      <c r="AR31" s="270"/>
      <c r="AS31" s="410">
        <f>AP31/2</f>
        <v>10345847.5</v>
      </c>
      <c r="AT31" s="411">
        <f>AP31-AS31</f>
        <v>10345847.5</v>
      </c>
    </row>
    <row r="32" spans="1:48" s="270" customFormat="1" thickBot="1">
      <c r="B32" s="286">
        <v>2021</v>
      </c>
      <c r="C32" s="325">
        <v>44772626</v>
      </c>
      <c r="D32" s="332">
        <f t="shared" si="1"/>
        <v>0.27858155394034045</v>
      </c>
      <c r="F32" s="272"/>
      <c r="G32" s="272"/>
      <c r="H32" s="333"/>
      <c r="I32" s="375"/>
      <c r="J32" s="285"/>
      <c r="K32" s="376"/>
      <c r="L32" s="272"/>
      <c r="M32" s="272"/>
      <c r="N32" s="272"/>
      <c r="P32" s="377"/>
      <c r="Q32" s="305"/>
      <c r="R32" s="366"/>
      <c r="S32" s="366"/>
      <c r="T32" s="367"/>
      <c r="U32" s="366"/>
      <c r="V32" s="305"/>
      <c r="W32" s="366"/>
      <c r="X32" s="366"/>
      <c r="Y32" s="367"/>
      <c r="Z32" s="366"/>
      <c r="AA32" s="305"/>
      <c r="AB32" s="378"/>
      <c r="AC32" s="378"/>
      <c r="AD32" s="367"/>
      <c r="AE32" s="366"/>
      <c r="AF32" s="368"/>
      <c r="AH32" s="342"/>
      <c r="AI32" s="342"/>
      <c r="AK32" s="364"/>
      <c r="AM32" s="379"/>
      <c r="AO32" s="285"/>
      <c r="AP32" s="380"/>
      <c r="AQ32" s="342"/>
      <c r="AS32" s="344">
        <v>2024</v>
      </c>
      <c r="AT32" s="344">
        <v>2025</v>
      </c>
    </row>
    <row r="33" spans="1:67" s="323" customFormat="1" thickBot="1">
      <c r="A33" s="323" t="s">
        <v>199</v>
      </c>
      <c r="B33" s="324">
        <v>2022</v>
      </c>
      <c r="C33" s="325">
        <v>52724928</v>
      </c>
      <c r="D33" s="336">
        <f t="shared" si="1"/>
        <v>0.17761526875819156</v>
      </c>
      <c r="F33" s="338">
        <f>AVERAGE(C31:C33)</f>
        <v>44171657.666666664</v>
      </c>
      <c r="G33" s="338">
        <f>AVERAGE($C31:$C33)-AVERAGE($C29:$C31)</f>
        <v>7976496</v>
      </c>
      <c r="H33" s="337">
        <f>(SUM($C31:$C33)/SUM($C29:$C31))-1</f>
        <v>0.22037464767965997</v>
      </c>
      <c r="I33" s="340">
        <f>AVERAGE(C32:C33)</f>
        <v>48748777</v>
      </c>
      <c r="J33" s="345">
        <f>I33-I31</f>
        <v>13077238.5</v>
      </c>
      <c r="K33" s="381">
        <v>0.28583510000000001</v>
      </c>
      <c r="L33" s="338">
        <f>K33*F33</f>
        <v>12625810.186317433</v>
      </c>
      <c r="M33" s="338">
        <f>L33*2</f>
        <v>25251620.372634865</v>
      </c>
      <c r="N33" s="338">
        <f>M33-M31</f>
        <v>4559925.3726348653</v>
      </c>
      <c r="P33" s="348">
        <f>J33</f>
        <v>13077238.5</v>
      </c>
      <c r="Q33" s="349"/>
      <c r="R33" s="350">
        <f>$R$8</f>
        <v>0</v>
      </c>
      <c r="S33" s="350">
        <f>$S$26</f>
        <v>1500000</v>
      </c>
      <c r="T33" s="351">
        <f>$T$8</f>
        <v>0.2</v>
      </c>
      <c r="U33" s="350">
        <f>IF(P33&gt;=S33,(S33-R33)*T33,MAX((P33-R33)*T33,0))</f>
        <v>300000</v>
      </c>
      <c r="V33" s="349"/>
      <c r="W33" s="350">
        <f>$W$26</f>
        <v>1500000</v>
      </c>
      <c r="X33" s="350">
        <f>$X$26</f>
        <v>3000000</v>
      </c>
      <c r="Y33" s="351">
        <f>$Y$8</f>
        <v>0.4</v>
      </c>
      <c r="Z33" s="350">
        <f>IF(P33&gt;=X33,(X33-W33)*Y33,MAX((P33-W33)*Y33,0))</f>
        <v>600000</v>
      </c>
      <c r="AA33" s="349"/>
      <c r="AB33" s="352">
        <f>$AB$26</f>
        <v>3000000</v>
      </c>
      <c r="AC33" s="352" t="str">
        <f>$AC$26</f>
        <v>NA</v>
      </c>
      <c r="AD33" s="351">
        <f>$AD$26</f>
        <v>0.6</v>
      </c>
      <c r="AE33" s="350">
        <f>IF(P33&gt;=AC33,(AC33-AB33)*AD33,MAX((P33-AB33)*AD33,0))</f>
        <v>6046343.0999999996</v>
      </c>
      <c r="AF33" s="353">
        <f>U33+Z33+AE33</f>
        <v>6946343.0999999996</v>
      </c>
      <c r="AH33" s="354">
        <f>M33+AF33</f>
        <v>32197963.472634867</v>
      </c>
      <c r="AI33" s="354">
        <f>AH33-M21</f>
        <v>11506268.472634867</v>
      </c>
      <c r="AK33" s="371"/>
      <c r="AM33" s="372">
        <f>AQ23*5%</f>
        <v>8603941.3577017691</v>
      </c>
      <c r="AO33" s="355">
        <f>IF(AI33&gt;AM33,AM33,AI33)</f>
        <v>8603941.3577017691</v>
      </c>
      <c r="AP33" s="382">
        <f>ROUND(IF(AH33&gt;(M21+AM33),(M21+AM33),AH33),0)</f>
        <v>29295636</v>
      </c>
      <c r="AQ33" s="354">
        <f>AP33-M21</f>
        <v>8603941</v>
      </c>
      <c r="AR33" s="270"/>
      <c r="AS33" s="383">
        <f>AP33/2</f>
        <v>14647818</v>
      </c>
      <c r="AT33" s="384">
        <f>AP33-AS33</f>
        <v>14647818</v>
      </c>
      <c r="AU33" s="270"/>
      <c r="AV33" s="270"/>
    </row>
    <row r="34" spans="1:67">
      <c r="A34" s="270"/>
      <c r="B34" s="286"/>
      <c r="C34" s="272"/>
      <c r="D34" s="270"/>
      <c r="E34" s="270"/>
      <c r="F34" s="272"/>
      <c r="G34" s="272"/>
      <c r="H34" s="270"/>
      <c r="I34" s="270"/>
      <c r="J34" s="270"/>
      <c r="K34" s="270"/>
      <c r="L34" s="270"/>
      <c r="M34" s="270"/>
      <c r="N34" s="270"/>
      <c r="O34" s="270"/>
      <c r="P34" s="270"/>
      <c r="Q34" s="270"/>
      <c r="R34" s="270"/>
      <c r="S34" s="270"/>
      <c r="T34" s="270"/>
      <c r="U34" s="270"/>
      <c r="V34" s="270"/>
      <c r="W34" s="270"/>
      <c r="X34" s="270"/>
      <c r="Y34" s="270"/>
      <c r="Z34" s="270"/>
      <c r="AA34" s="270"/>
      <c r="AB34" s="270"/>
      <c r="AC34" s="270"/>
      <c r="AD34" s="270"/>
      <c r="AE34" s="270"/>
      <c r="AF34" s="270"/>
      <c r="AG34" s="270"/>
      <c r="AH34" s="270"/>
      <c r="AI34" s="270"/>
      <c r="AJ34" s="270"/>
      <c r="AK34" s="270"/>
      <c r="AL34" s="270"/>
      <c r="AM34" s="273"/>
      <c r="AN34" s="270"/>
      <c r="AO34" s="270"/>
      <c r="AP34" s="270"/>
      <c r="AQ34" s="270"/>
      <c r="AR34" s="270"/>
      <c r="AS34" s="270"/>
      <c r="AT34" s="270"/>
    </row>
    <row r="35" spans="1:67">
      <c r="A35" s="363" t="s">
        <v>200</v>
      </c>
      <c r="B35" s="286"/>
      <c r="C35" s="272"/>
      <c r="D35" s="270"/>
      <c r="E35" s="270"/>
      <c r="F35" s="272"/>
      <c r="G35" s="272"/>
      <c r="H35" s="270"/>
      <c r="I35" s="270"/>
      <c r="J35" s="270"/>
      <c r="K35" s="270"/>
      <c r="L35" s="270"/>
      <c r="M35" s="270"/>
      <c r="N35" s="270"/>
      <c r="O35" s="270"/>
      <c r="P35" s="270"/>
      <c r="Q35" s="270"/>
      <c r="R35" s="270"/>
      <c r="S35" s="270"/>
      <c r="T35" s="270"/>
      <c r="U35" s="270"/>
      <c r="V35" s="270"/>
      <c r="W35" s="270"/>
      <c r="X35" s="270"/>
      <c r="Y35" s="270"/>
      <c r="Z35" s="270"/>
      <c r="AA35" s="270"/>
      <c r="AB35" s="270"/>
      <c r="AC35" s="270"/>
      <c r="AD35" s="270"/>
      <c r="AE35" s="270"/>
      <c r="AF35" s="270"/>
      <c r="AG35" s="270"/>
      <c r="AH35" s="270"/>
      <c r="AI35" s="270"/>
      <c r="AJ35" s="270"/>
      <c r="AK35" s="270"/>
      <c r="AL35" s="270"/>
      <c r="AM35" s="379"/>
      <c r="AN35" s="270"/>
      <c r="AO35" s="270"/>
      <c r="AP35" s="427"/>
      <c r="AQ35" s="342"/>
      <c r="AR35" s="270"/>
      <c r="AS35" s="270"/>
      <c r="AT35" s="270"/>
    </row>
    <row r="36" spans="1:67" ht="14.4" thickBot="1">
      <c r="A36" s="270"/>
      <c r="B36" s="286"/>
      <c r="C36" s="272"/>
      <c r="D36" s="270"/>
      <c r="E36" s="270"/>
      <c r="F36" s="272"/>
      <c r="G36" s="412"/>
      <c r="H36" s="413"/>
      <c r="I36" s="413"/>
      <c r="J36" s="413"/>
      <c r="K36" s="270"/>
      <c r="L36" s="270"/>
      <c r="M36" s="270"/>
      <c r="N36" s="270"/>
      <c r="O36" s="270"/>
      <c r="P36" s="270"/>
      <c r="Q36" s="270"/>
      <c r="R36" s="270"/>
      <c r="S36" s="414"/>
      <c r="T36" s="270"/>
      <c r="U36" s="270"/>
      <c r="V36" s="270"/>
      <c r="W36" s="270"/>
      <c r="X36" s="270"/>
      <c r="Y36" s="270"/>
      <c r="Z36" s="270"/>
      <c r="AA36" s="270"/>
      <c r="AB36" s="270"/>
      <c r="AC36" s="270"/>
      <c r="AD36" s="270"/>
      <c r="AE36" s="270"/>
      <c r="AF36" s="270"/>
      <c r="AG36" s="270"/>
      <c r="AH36" s="270"/>
      <c r="AI36" s="270"/>
      <c r="AJ36" s="270"/>
      <c r="AK36" s="270"/>
      <c r="AL36" s="270"/>
      <c r="AM36" s="273"/>
      <c r="AN36" s="270"/>
      <c r="AO36" s="270"/>
      <c r="AP36" s="270"/>
      <c r="AQ36" s="342"/>
      <c r="AR36" s="270"/>
      <c r="AS36" s="270"/>
      <c r="AT36" s="270"/>
    </row>
    <row r="37" spans="1:67" ht="27.75" customHeight="1" thickBot="1">
      <c r="A37" s="969" t="s">
        <v>218</v>
      </c>
      <c r="B37" s="970"/>
      <c r="C37" s="970"/>
      <c r="D37" s="970"/>
      <c r="E37" s="970"/>
      <c r="F37" s="970"/>
      <c r="G37" s="970"/>
      <c r="H37" s="970"/>
      <c r="I37" s="970"/>
      <c r="J37" s="970"/>
      <c r="K37" s="971"/>
      <c r="L37" s="274" t="s">
        <v>150</v>
      </c>
      <c r="M37" s="275">
        <v>3160628</v>
      </c>
      <c r="N37" s="387" t="s">
        <v>151</v>
      </c>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3"/>
      <c r="AN37" s="270"/>
      <c r="AO37" s="1034"/>
      <c r="AP37" s="1034"/>
      <c r="AQ37" s="1034"/>
      <c r="AR37" s="1034"/>
      <c r="AS37" s="1034"/>
      <c r="AT37" s="1034"/>
    </row>
    <row r="38" spans="1:67" ht="27" thickBot="1">
      <c r="A38" s="972"/>
      <c r="B38" s="973"/>
      <c r="C38" s="973"/>
      <c r="D38" s="973"/>
      <c r="E38" s="973"/>
      <c r="F38" s="973"/>
      <c r="G38" s="973"/>
      <c r="H38" s="973"/>
      <c r="I38" s="973"/>
      <c r="J38" s="973"/>
      <c r="K38" s="974"/>
      <c r="L38" s="277" t="s">
        <v>152</v>
      </c>
      <c r="M38" s="278">
        <v>3160628</v>
      </c>
      <c r="N38" s="415">
        <v>0</v>
      </c>
      <c r="O38" s="270"/>
      <c r="P38" s="270"/>
      <c r="Q38" s="270"/>
      <c r="R38" s="270"/>
      <c r="S38" s="270"/>
      <c r="T38" s="270"/>
      <c r="U38" s="270"/>
      <c r="V38" s="270"/>
      <c r="W38" s="270"/>
      <c r="X38" s="270"/>
      <c r="Y38" s="270"/>
      <c r="Z38" s="270"/>
      <c r="AA38" s="270"/>
      <c r="AB38" s="270"/>
      <c r="AC38" s="270"/>
      <c r="AD38" s="270"/>
      <c r="AE38" s="270"/>
      <c r="AF38" s="270"/>
      <c r="AG38" s="270"/>
      <c r="AH38" s="270"/>
      <c r="AI38" s="270"/>
      <c r="AJ38" s="270"/>
      <c r="AK38" s="270"/>
      <c r="AL38" s="270"/>
      <c r="AM38" s="273"/>
      <c r="AN38" s="270"/>
      <c r="AO38" s="429"/>
      <c r="AP38" s="270"/>
      <c r="AQ38" s="270"/>
      <c r="AR38" s="270"/>
      <c r="AS38" s="270"/>
      <c r="AT38" s="270"/>
    </row>
    <row r="39" spans="1:67" ht="14.4" thickBot="1">
      <c r="A39" s="270"/>
      <c r="B39" s="280"/>
      <c r="C39" s="975" t="s">
        <v>219</v>
      </c>
      <c r="D39" s="976"/>
      <c r="E39" s="976"/>
      <c r="F39" s="976"/>
      <c r="G39" s="976"/>
      <c r="H39" s="1013"/>
      <c r="I39" s="281"/>
      <c r="J39" s="282"/>
      <c r="K39" s="1029" t="s">
        <v>154</v>
      </c>
      <c r="L39" s="1030"/>
      <c r="M39" s="1030"/>
      <c r="N39" s="1031"/>
      <c r="O39" s="270"/>
      <c r="P39" s="983" t="s">
        <v>155</v>
      </c>
      <c r="Q39" s="984"/>
      <c r="R39" s="984"/>
      <c r="S39" s="984"/>
      <c r="T39" s="984"/>
      <c r="U39" s="984"/>
      <c r="V39" s="984"/>
      <c r="W39" s="984"/>
      <c r="X39" s="984"/>
      <c r="Y39" s="984"/>
      <c r="Z39" s="984"/>
      <c r="AA39" s="984"/>
      <c r="AB39" s="984"/>
      <c r="AC39" s="984"/>
      <c r="AD39" s="984"/>
      <c r="AE39" s="984"/>
      <c r="AF39" s="985"/>
      <c r="AG39" s="270"/>
      <c r="AH39" s="986" t="s">
        <v>156</v>
      </c>
      <c r="AI39" s="985"/>
      <c r="AJ39" s="270"/>
      <c r="AK39" s="1007" t="s">
        <v>157</v>
      </c>
      <c r="AL39" s="1007"/>
      <c r="AM39" s="1007"/>
      <c r="AN39" s="270"/>
      <c r="AO39" s="1032" t="s">
        <v>158</v>
      </c>
      <c r="AP39" s="1032"/>
      <c r="AQ39" s="284">
        <v>252623503</v>
      </c>
      <c r="AR39" s="285"/>
      <c r="AS39" s="270"/>
      <c r="AT39" s="270"/>
    </row>
    <row r="40" spans="1:67" ht="14.4" thickBot="1">
      <c r="A40" s="270"/>
      <c r="B40" s="286"/>
      <c r="C40" s="977"/>
      <c r="D40" s="978"/>
      <c r="E40" s="978"/>
      <c r="F40" s="978"/>
      <c r="G40" s="978"/>
      <c r="H40" s="1014"/>
      <c r="I40" s="287"/>
      <c r="J40" s="288"/>
      <c r="K40" s="979"/>
      <c r="L40" s="980"/>
      <c r="M40" s="980"/>
      <c r="N40" s="1015"/>
      <c r="O40" s="270"/>
      <c r="P40" s="997" t="s">
        <v>159</v>
      </c>
      <c r="Q40" s="270"/>
      <c r="R40" s="999" t="s">
        <v>160</v>
      </c>
      <c r="S40" s="1000"/>
      <c r="T40" s="1000"/>
      <c r="U40" s="1001"/>
      <c r="V40" s="289"/>
      <c r="W40" s="999" t="s">
        <v>161</v>
      </c>
      <c r="X40" s="1000"/>
      <c r="Y40" s="1000"/>
      <c r="Z40" s="1001"/>
      <c r="AA40" s="289"/>
      <c r="AB40" s="999" t="s">
        <v>162</v>
      </c>
      <c r="AC40" s="1000"/>
      <c r="AD40" s="1000"/>
      <c r="AE40" s="1001"/>
      <c r="AF40" s="1002" t="s">
        <v>163</v>
      </c>
      <c r="AG40" s="270"/>
      <c r="AH40" s="1004" t="s">
        <v>164</v>
      </c>
      <c r="AI40" s="1004" t="s">
        <v>165</v>
      </c>
      <c r="AJ40" s="270"/>
      <c r="AK40" s="1007"/>
      <c r="AL40" s="1007"/>
      <c r="AM40" s="1007"/>
      <c r="AN40" s="270"/>
      <c r="AO40" s="1033" t="s">
        <v>166</v>
      </c>
      <c r="AP40" s="1033"/>
      <c r="AQ40" s="389">
        <f>'Governor Calculation'!D10</f>
        <v>257068972.05965388</v>
      </c>
      <c r="AR40" s="270"/>
      <c r="AS40" s="270"/>
      <c r="AT40" s="270"/>
    </row>
    <row r="41" spans="1:67" ht="52.5" customHeight="1" thickBot="1">
      <c r="A41" s="270"/>
      <c r="B41" s="286"/>
      <c r="C41" s="987" t="s">
        <v>220</v>
      </c>
      <c r="D41" s="988"/>
      <c r="E41" s="292"/>
      <c r="F41" s="1038" t="s">
        <v>168</v>
      </c>
      <c r="G41" s="1023" t="s">
        <v>151</v>
      </c>
      <c r="H41" s="1024"/>
      <c r="I41" s="994" t="s">
        <v>170</v>
      </c>
      <c r="J41" s="995"/>
      <c r="K41" s="981"/>
      <c r="L41" s="982"/>
      <c r="M41" s="982"/>
      <c r="N41" s="1016"/>
      <c r="O41" s="270"/>
      <c r="P41" s="998"/>
      <c r="Q41" s="270"/>
      <c r="R41" s="999" t="s">
        <v>221</v>
      </c>
      <c r="S41" s="1000"/>
      <c r="T41" s="1000"/>
      <c r="U41" s="1001"/>
      <c r="V41" s="289"/>
      <c r="W41" s="999" t="s">
        <v>222</v>
      </c>
      <c r="X41" s="1000"/>
      <c r="Y41" s="1000"/>
      <c r="Z41" s="1001"/>
      <c r="AA41" s="289"/>
      <c r="AB41" s="999" t="s">
        <v>223</v>
      </c>
      <c r="AC41" s="1000"/>
      <c r="AD41" s="1000"/>
      <c r="AE41" s="1001"/>
      <c r="AF41" s="1002"/>
      <c r="AG41" s="270"/>
      <c r="AH41" s="1004"/>
      <c r="AI41" s="1004"/>
      <c r="AJ41" s="270"/>
      <c r="AK41" s="1007"/>
      <c r="AL41" s="1007"/>
      <c r="AM41" s="1007"/>
      <c r="AN41" s="270"/>
      <c r="AO41" s="270"/>
      <c r="AP41" s="270"/>
      <c r="AQ41" s="270"/>
      <c r="AR41" s="270"/>
      <c r="AS41" s="1036" t="s">
        <v>224</v>
      </c>
      <c r="AT41" s="1037"/>
    </row>
    <row r="42" spans="1:67" ht="36.75" customHeight="1" thickBot="1">
      <c r="A42" s="293" t="s">
        <v>203</v>
      </c>
      <c r="B42" s="294" t="s">
        <v>176</v>
      </c>
      <c r="C42" s="989"/>
      <c r="D42" s="990"/>
      <c r="E42" s="295"/>
      <c r="F42" s="1039"/>
      <c r="G42" s="1025"/>
      <c r="H42" s="1026"/>
      <c r="I42" s="296" t="s">
        <v>177</v>
      </c>
      <c r="J42" s="297" t="s">
        <v>151</v>
      </c>
      <c r="K42" s="298" t="s">
        <v>179</v>
      </c>
      <c r="L42" s="299" t="s">
        <v>180</v>
      </c>
      <c r="M42" s="299" t="s">
        <v>181</v>
      </c>
      <c r="N42" s="390" t="s">
        <v>182</v>
      </c>
      <c r="O42" s="270"/>
      <c r="P42" s="998"/>
      <c r="Q42" s="270"/>
      <c r="R42" s="301" t="s">
        <v>183</v>
      </c>
      <c r="S42" s="302" t="s">
        <v>184</v>
      </c>
      <c r="T42" s="303" t="s">
        <v>185</v>
      </c>
      <c r="U42" s="304" t="s">
        <v>186</v>
      </c>
      <c r="V42" s="305"/>
      <c r="W42" s="301" t="s">
        <v>183</v>
      </c>
      <c r="X42" s="302" t="s">
        <v>184</v>
      </c>
      <c r="Y42" s="303" t="s">
        <v>185</v>
      </c>
      <c r="Z42" s="304" t="s">
        <v>186</v>
      </c>
      <c r="AA42" s="305"/>
      <c r="AB42" s="301" t="s">
        <v>183</v>
      </c>
      <c r="AC42" s="302" t="s">
        <v>184</v>
      </c>
      <c r="AD42" s="303" t="s">
        <v>185</v>
      </c>
      <c r="AE42" s="304" t="s">
        <v>186</v>
      </c>
      <c r="AF42" s="1002"/>
      <c r="AG42" s="270"/>
      <c r="AH42" s="1004"/>
      <c r="AI42" s="1004"/>
      <c r="AJ42" s="270"/>
      <c r="AK42" s="1009" t="s">
        <v>187</v>
      </c>
      <c r="AL42" s="306"/>
      <c r="AM42" s="1010" t="s">
        <v>188</v>
      </c>
      <c r="AN42" s="270"/>
      <c r="AO42" s="307" t="s">
        <v>189</v>
      </c>
      <c r="AP42" s="307" t="s">
        <v>190</v>
      </c>
      <c r="AQ42" s="307" t="s">
        <v>191</v>
      </c>
      <c r="AR42" s="270"/>
      <c r="AS42" s="1008" t="s">
        <v>192</v>
      </c>
      <c r="AT42" s="1008"/>
    </row>
    <row r="43" spans="1:67" ht="22.5" customHeight="1" thickBot="1">
      <c r="A43" s="1011"/>
      <c r="B43" s="1012"/>
      <c r="C43" s="391"/>
      <c r="D43" s="309" t="s">
        <v>193</v>
      </c>
      <c r="E43" s="310"/>
      <c r="F43" s="311"/>
      <c r="G43" s="311" t="s">
        <v>194</v>
      </c>
      <c r="H43" s="392" t="s">
        <v>193</v>
      </c>
      <c r="I43" s="312"/>
      <c r="J43" s="313"/>
      <c r="K43" s="314"/>
      <c r="L43" s="315"/>
      <c r="M43" s="295"/>
      <c r="N43" s="393"/>
      <c r="O43" s="270"/>
      <c r="P43" s="317"/>
      <c r="Q43" s="295"/>
      <c r="R43" s="318">
        <v>0</v>
      </c>
      <c r="S43" s="318">
        <v>2500000</v>
      </c>
      <c r="T43" s="319">
        <v>0.25</v>
      </c>
      <c r="U43" s="320"/>
      <c r="V43" s="321"/>
      <c r="W43" s="318">
        <v>2500000</v>
      </c>
      <c r="X43" s="318">
        <v>5000000</v>
      </c>
      <c r="Y43" s="319">
        <v>0.5</v>
      </c>
      <c r="Z43" s="322"/>
      <c r="AA43" s="321"/>
      <c r="AB43" s="318">
        <v>5000000</v>
      </c>
      <c r="AC43" s="318" t="s">
        <v>120</v>
      </c>
      <c r="AD43" s="319">
        <v>0.75</v>
      </c>
      <c r="AE43" s="322"/>
      <c r="AF43" s="1003"/>
      <c r="AG43" s="270"/>
      <c r="AH43" s="1005"/>
      <c r="AI43" s="1005"/>
      <c r="AJ43" s="270"/>
      <c r="AK43" s="1009"/>
      <c r="AL43" s="270"/>
      <c r="AM43" s="1010"/>
      <c r="AN43" s="270"/>
      <c r="AO43" s="270"/>
      <c r="AP43" s="270"/>
      <c r="AQ43" s="270"/>
      <c r="AR43" s="270"/>
      <c r="AS43" s="270"/>
      <c r="AT43" s="270"/>
    </row>
    <row r="44" spans="1:67">
      <c r="A44" s="323" t="s">
        <v>196</v>
      </c>
      <c r="B44" s="324">
        <v>2016</v>
      </c>
      <c r="C44" s="325">
        <v>15471921</v>
      </c>
      <c r="D44" s="336">
        <v>-6.7555221810833621E-2</v>
      </c>
      <c r="E44" s="270"/>
      <c r="F44" s="338">
        <v>15608494</v>
      </c>
      <c r="G44" s="339" t="s">
        <v>120</v>
      </c>
      <c r="H44" s="337"/>
      <c r="I44" s="395">
        <v>16032388</v>
      </c>
      <c r="J44" s="396" t="s">
        <v>120</v>
      </c>
      <c r="K44" s="330" t="s">
        <v>120</v>
      </c>
      <c r="L44" s="330" t="s">
        <v>120</v>
      </c>
      <c r="M44" s="330" t="s">
        <v>120</v>
      </c>
      <c r="N44" s="330" t="s">
        <v>120</v>
      </c>
      <c r="O44" s="323"/>
      <c r="P44" s="323"/>
      <c r="Q44" s="323"/>
      <c r="R44" s="323"/>
      <c r="S44" s="323"/>
      <c r="T44" s="323"/>
      <c r="U44" s="323"/>
      <c r="V44" s="323"/>
      <c r="W44" s="323"/>
      <c r="X44" s="323"/>
      <c r="Y44" s="323"/>
      <c r="Z44" s="323"/>
      <c r="AA44" s="323"/>
      <c r="AB44" s="323"/>
      <c r="AC44" s="323"/>
      <c r="AD44" s="323"/>
      <c r="AE44" s="323"/>
      <c r="AF44" s="323"/>
      <c r="AG44" s="323"/>
      <c r="AH44" s="323"/>
      <c r="AI44" s="323"/>
      <c r="AJ44" s="323"/>
      <c r="AK44" s="323"/>
      <c r="AL44" s="323"/>
      <c r="AM44" s="331"/>
      <c r="AN44" s="323"/>
      <c r="AO44" s="323"/>
      <c r="AP44" s="323"/>
      <c r="AQ44" s="323"/>
      <c r="AR44" s="323"/>
      <c r="AS44" s="323"/>
      <c r="AT44" s="323"/>
    </row>
    <row r="45" spans="1:67">
      <c r="A45" s="270"/>
      <c r="B45" s="286">
        <v>2017</v>
      </c>
      <c r="C45" s="325">
        <v>13580584</v>
      </c>
      <c r="D45" s="332">
        <f t="shared" ref="D45:D50" si="2">C45/C44-1</f>
        <v>-0.12224319139168305</v>
      </c>
      <c r="E45" s="270"/>
      <c r="F45" s="272"/>
      <c r="G45" s="272"/>
      <c r="H45" s="333"/>
      <c r="I45" s="334"/>
      <c r="J45" s="334"/>
      <c r="K45" s="270"/>
      <c r="L45" s="270"/>
      <c r="M45" s="270"/>
      <c r="N45" s="270"/>
      <c r="O45" s="270"/>
      <c r="P45" s="270"/>
      <c r="Q45" s="289"/>
      <c r="R45" s="292"/>
      <c r="S45" s="292"/>
      <c r="T45" s="292"/>
      <c r="U45" s="292"/>
      <c r="V45" s="292"/>
      <c r="W45" s="416"/>
      <c r="X45" s="292"/>
      <c r="Y45" s="292"/>
      <c r="Z45" s="292"/>
      <c r="AA45" s="292"/>
      <c r="AB45" s="292"/>
      <c r="AC45" s="292"/>
      <c r="AD45" s="292"/>
      <c r="AE45" s="292"/>
      <c r="AF45" s="292"/>
      <c r="AG45" s="270"/>
      <c r="AH45" s="270"/>
      <c r="AI45" s="270"/>
      <c r="AJ45" s="270"/>
      <c r="AK45" s="270"/>
      <c r="AL45" s="270"/>
      <c r="AM45" s="273"/>
      <c r="AN45" s="270"/>
      <c r="AO45" s="270"/>
      <c r="AP45" s="270"/>
      <c r="AQ45" s="270"/>
      <c r="AR45" s="270"/>
      <c r="AS45" s="344">
        <v>2020</v>
      </c>
      <c r="AT45" s="344">
        <v>2021</v>
      </c>
    </row>
    <row r="46" spans="1:67">
      <c r="A46" s="323" t="s">
        <v>197</v>
      </c>
      <c r="B46" s="324">
        <v>2018</v>
      </c>
      <c r="C46" s="325">
        <v>12755634</v>
      </c>
      <c r="D46" s="336">
        <f t="shared" si="2"/>
        <v>-6.0744810385179315E-2</v>
      </c>
      <c r="E46" s="270"/>
      <c r="F46" s="338">
        <f>AVERAGE(C44:C46)</f>
        <v>13936046.333333334</v>
      </c>
      <c r="G46" s="339">
        <f>F46-F44</f>
        <v>-1672447.666666666</v>
      </c>
      <c r="H46" s="337">
        <f>G46/F44</f>
        <v>-0.10714984204540592</v>
      </c>
      <c r="I46" s="340">
        <f>AVERAGE(C45:C46)</f>
        <v>13168109</v>
      </c>
      <c r="J46" s="397">
        <f>I46-I44</f>
        <v>-2864279</v>
      </c>
      <c r="K46" s="346">
        <v>0</v>
      </c>
      <c r="L46" s="398">
        <f>K46*F46</f>
        <v>0</v>
      </c>
      <c r="M46" s="398">
        <f>L46*2</f>
        <v>0</v>
      </c>
      <c r="N46" s="399" t="s">
        <v>120</v>
      </c>
      <c r="O46" s="323"/>
      <c r="P46" s="417">
        <f>J46</f>
        <v>-2864279</v>
      </c>
      <c r="Q46" s="401"/>
      <c r="R46" s="402">
        <f>$R$43</f>
        <v>0</v>
      </c>
      <c r="S46" s="402">
        <f>$S$43</f>
        <v>2500000</v>
      </c>
      <c r="T46" s="403">
        <f>$T$43</f>
        <v>0.25</v>
      </c>
      <c r="U46" s="402">
        <f>IF(P46&gt;=S46,(S46-R46)*T46,MAX((P46-R46)*T46,0))</f>
        <v>0</v>
      </c>
      <c r="V46" s="402"/>
      <c r="W46" s="402">
        <f>$W$43</f>
        <v>2500000</v>
      </c>
      <c r="X46" s="402">
        <f>$X$43</f>
        <v>5000000</v>
      </c>
      <c r="Y46" s="403">
        <f>$Y$43</f>
        <v>0.5</v>
      </c>
      <c r="Z46" s="402">
        <f>IF(P46&gt;=X46,(X46-W46)*Y46,MAX((P46-W46)*Y46,0))</f>
        <v>0</v>
      </c>
      <c r="AA46" s="402"/>
      <c r="AB46" s="402">
        <f>$AB$43</f>
        <v>5000000</v>
      </c>
      <c r="AC46" s="430" t="str">
        <f>$AC$43</f>
        <v>NA</v>
      </c>
      <c r="AD46" s="403">
        <f>$AD$43</f>
        <v>0.75</v>
      </c>
      <c r="AE46" s="402">
        <f>IF(P46&gt;=AC46,(AC46-AB46)*AD46,MAX((P46-AB46)*AD46,0))</f>
        <v>0</v>
      </c>
      <c r="AF46" s="405">
        <f>U46+Z46+AE46</f>
        <v>0</v>
      </c>
      <c r="AG46" s="323"/>
      <c r="AH46" s="406">
        <f>M46+AF46</f>
        <v>0</v>
      </c>
      <c r="AI46" s="406">
        <v>0</v>
      </c>
      <c r="AJ46" s="323"/>
      <c r="AK46" s="323"/>
      <c r="AL46" s="323"/>
      <c r="AM46" s="408" t="s">
        <v>225</v>
      </c>
      <c r="AN46" s="323"/>
      <c r="AO46" s="354" t="s">
        <v>225</v>
      </c>
      <c r="AP46" s="406" t="s">
        <v>225</v>
      </c>
      <c r="AQ46" s="406" t="s">
        <v>225</v>
      </c>
      <c r="AR46" s="270"/>
      <c r="AS46" s="374" t="s">
        <v>120</v>
      </c>
      <c r="AT46" s="374" t="s">
        <v>120</v>
      </c>
    </row>
    <row r="47" spans="1:67">
      <c r="A47" s="359"/>
      <c r="B47" s="286">
        <v>2019</v>
      </c>
      <c r="C47" s="325">
        <v>17488229</v>
      </c>
      <c r="D47" s="332">
        <f t="shared" si="2"/>
        <v>0.37101997438935608</v>
      </c>
      <c r="E47" s="270"/>
      <c r="F47" s="272"/>
      <c r="G47" s="272"/>
      <c r="H47" s="333"/>
      <c r="I47" s="333"/>
      <c r="J47" s="333"/>
      <c r="K47" s="342"/>
      <c r="L47" s="342"/>
      <c r="M47" s="342"/>
      <c r="N47" s="342"/>
      <c r="O47" s="270"/>
      <c r="P47" s="270"/>
      <c r="Q47" s="305"/>
      <c r="R47" s="270"/>
      <c r="S47" s="270"/>
      <c r="T47" s="270"/>
      <c r="U47" s="270"/>
      <c r="V47" s="270"/>
      <c r="W47" s="343"/>
      <c r="X47" s="270"/>
      <c r="Y47" s="270"/>
      <c r="Z47" s="270"/>
      <c r="AA47" s="270"/>
      <c r="AB47" s="270"/>
      <c r="AC47" s="270"/>
      <c r="AD47" s="270"/>
      <c r="AE47" s="270"/>
      <c r="AF47" s="270"/>
      <c r="AG47" s="270"/>
      <c r="AH47" s="270"/>
      <c r="AI47" s="270"/>
      <c r="AJ47" s="270"/>
      <c r="AK47" s="270"/>
      <c r="AL47" s="270"/>
      <c r="AM47" s="273"/>
      <c r="AN47" s="270"/>
      <c r="AO47" s="270"/>
      <c r="AP47" s="270"/>
      <c r="AQ47" s="270"/>
      <c r="AR47" s="270"/>
      <c r="AS47" s="344">
        <v>2022</v>
      </c>
      <c r="AT47" s="344">
        <v>2023</v>
      </c>
    </row>
    <row r="48" spans="1:67">
      <c r="A48" s="323" t="s">
        <v>198</v>
      </c>
      <c r="B48" s="324">
        <v>2020</v>
      </c>
      <c r="C48" s="325">
        <v>17173817</v>
      </c>
      <c r="D48" s="336">
        <f t="shared" si="2"/>
        <v>-1.7978492847960714E-2</v>
      </c>
      <c r="E48" s="270"/>
      <c r="F48" s="338">
        <f>AVERAGE(C46:C48)</f>
        <v>15805893.333333334</v>
      </c>
      <c r="G48" s="338">
        <f>F48-F46</f>
        <v>1869847</v>
      </c>
      <c r="H48" s="337">
        <f>(SUM($C46:$C48)/SUM($C44:$C46))-1</f>
        <v>0.13417342015630029</v>
      </c>
      <c r="I48" s="340">
        <f>AVERAGE(C47:C48)</f>
        <v>17331023</v>
      </c>
      <c r="J48" s="345">
        <f>I48-I46</f>
        <v>4162914</v>
      </c>
      <c r="K48" s="346">
        <f>L48/F48</f>
        <v>5.3909354063716317E-2</v>
      </c>
      <c r="L48" s="338">
        <f>(M38/2)-(AF48/2)</f>
        <v>852085.5</v>
      </c>
      <c r="M48" s="338">
        <f>L48*2</f>
        <v>1704171</v>
      </c>
      <c r="N48" s="431">
        <f>M48-M46</f>
        <v>1704171</v>
      </c>
      <c r="O48" s="323"/>
      <c r="P48" s="348">
        <f>J48</f>
        <v>4162914</v>
      </c>
      <c r="Q48" s="349"/>
      <c r="R48" s="350">
        <f>$R$43</f>
        <v>0</v>
      </c>
      <c r="S48" s="350">
        <f>$S$43</f>
        <v>2500000</v>
      </c>
      <c r="T48" s="351">
        <f>$T$43</f>
        <v>0.25</v>
      </c>
      <c r="U48" s="350">
        <f>IF(P48&gt;=S48,(S48-R48)*T48,MAX((P48-R48)*T48,0))</f>
        <v>625000</v>
      </c>
      <c r="V48" s="349"/>
      <c r="W48" s="350">
        <f>$W$43</f>
        <v>2500000</v>
      </c>
      <c r="X48" s="350">
        <f>$X$43</f>
        <v>5000000</v>
      </c>
      <c r="Y48" s="351">
        <f>$Y$43</f>
        <v>0.5</v>
      </c>
      <c r="Z48" s="350">
        <f>IF(P48&gt;=X48,(X48-W48)*Y48,MAX((P48-W48)*Y48,0))</f>
        <v>831457</v>
      </c>
      <c r="AA48" s="349"/>
      <c r="AB48" s="352">
        <f>$AB$43</f>
        <v>5000000</v>
      </c>
      <c r="AC48" s="352" t="str">
        <f>$AC$43</f>
        <v>NA</v>
      </c>
      <c r="AD48" s="351">
        <f>$AD$43</f>
        <v>0.75</v>
      </c>
      <c r="AE48" s="350">
        <f>IF(P48&gt;=AC48,(AC48-AB48)*AD48,MAX((P48-AB48)*AD48,0))</f>
        <v>0</v>
      </c>
      <c r="AF48" s="353">
        <f>U48+Z48+AE48</f>
        <v>1456457</v>
      </c>
      <c r="AG48" s="323"/>
      <c r="AH48" s="354">
        <f>M48+AF48</f>
        <v>3160628</v>
      </c>
      <c r="AI48" s="354">
        <f>AH48-M37</f>
        <v>0</v>
      </c>
      <c r="AJ48" s="323"/>
      <c r="AK48" s="355"/>
      <c r="AL48" s="323"/>
      <c r="AM48" s="356">
        <f>AQ39*0.05</f>
        <v>12631175.15</v>
      </c>
      <c r="AN48" s="323"/>
      <c r="AO48" s="355">
        <f>IF(AI48&gt;AM48,AM48,AI48)</f>
        <v>0</v>
      </c>
      <c r="AP48" s="409">
        <f>ROUND(IF(AH48&gt;(M37+AM48),(M37+AM48),AH48),0)</f>
        <v>3160628</v>
      </c>
      <c r="AQ48" s="354">
        <f>AP48-M37</f>
        <v>0</v>
      </c>
      <c r="AR48" s="270"/>
      <c r="AS48" s="410">
        <f>AP48/2</f>
        <v>1580314</v>
      </c>
      <c r="AT48" s="411">
        <f>AP48-AS48</f>
        <v>1580314</v>
      </c>
      <c r="AU48" s="270"/>
      <c r="AV48" s="270"/>
      <c r="AW48" s="270"/>
      <c r="AX48" s="270"/>
      <c r="AY48" s="270"/>
      <c r="AZ48" s="270"/>
      <c r="BA48" s="270"/>
      <c r="BB48" s="270"/>
      <c r="BC48" s="270"/>
      <c r="BD48" s="270"/>
      <c r="BE48" s="270"/>
      <c r="BF48" s="270"/>
      <c r="BG48" s="270"/>
      <c r="BH48" s="270"/>
      <c r="BI48" s="270"/>
      <c r="BJ48" s="270"/>
      <c r="BK48" s="270"/>
      <c r="BL48" s="270"/>
      <c r="BM48" s="270"/>
      <c r="BN48" s="270"/>
      <c r="BO48" s="270"/>
    </row>
    <row r="49" spans="1:67" ht="14.4" thickBot="1">
      <c r="A49" s="359"/>
      <c r="B49" s="286">
        <v>2021</v>
      </c>
      <c r="C49" s="325">
        <v>16853053</v>
      </c>
      <c r="D49" s="332">
        <f t="shared" si="2"/>
        <v>-1.8677501920510764E-2</v>
      </c>
      <c r="E49" s="270"/>
      <c r="F49" s="272"/>
      <c r="G49" s="272"/>
      <c r="H49" s="333"/>
      <c r="I49" s="333"/>
      <c r="J49" s="333"/>
      <c r="K49" s="342"/>
      <c r="L49" s="342"/>
      <c r="M49" s="342"/>
      <c r="N49" s="342"/>
      <c r="O49" s="270"/>
      <c r="P49" s="270"/>
      <c r="Q49" s="305"/>
      <c r="R49" s="270"/>
      <c r="S49" s="270"/>
      <c r="T49" s="270"/>
      <c r="U49" s="270"/>
      <c r="V49" s="270"/>
      <c r="W49" s="343"/>
      <c r="X49" s="270"/>
      <c r="Y49" s="270"/>
      <c r="Z49" s="270"/>
      <c r="AA49" s="270"/>
      <c r="AB49" s="270"/>
      <c r="AC49" s="270"/>
      <c r="AD49" s="270"/>
      <c r="AE49" s="270"/>
      <c r="AF49" s="270"/>
      <c r="AG49" s="270"/>
      <c r="AH49" s="270"/>
      <c r="AI49" s="270"/>
      <c r="AJ49" s="270"/>
      <c r="AK49" s="270"/>
      <c r="AL49" s="270"/>
      <c r="AM49" s="273"/>
      <c r="AN49" s="270"/>
      <c r="AO49" s="270"/>
      <c r="AP49" s="270"/>
      <c r="AQ49" s="270"/>
      <c r="AR49" s="270"/>
      <c r="AS49" s="344">
        <v>2022</v>
      </c>
      <c r="AT49" s="344">
        <v>2023</v>
      </c>
    </row>
    <row r="50" spans="1:67" ht="14.4" thickBot="1">
      <c r="A50" s="323" t="s">
        <v>199</v>
      </c>
      <c r="B50" s="324">
        <v>2022</v>
      </c>
      <c r="C50" s="325">
        <v>19880240</v>
      </c>
      <c r="D50" s="336">
        <f t="shared" si="2"/>
        <v>0.17962246959052464</v>
      </c>
      <c r="E50" s="270"/>
      <c r="F50" s="338">
        <f>AVERAGE(C48:C50)</f>
        <v>17969036.666666668</v>
      </c>
      <c r="G50" s="338">
        <f>F50-F48</f>
        <v>2163143.333333334</v>
      </c>
      <c r="H50" s="337">
        <f>(SUM($C48:$C50)/SUM($C46:$C48))-1</f>
        <v>0.13685675891355298</v>
      </c>
      <c r="I50" s="340">
        <f>AVERAGE(C49:C50)</f>
        <v>18366646.5</v>
      </c>
      <c r="J50" s="345">
        <f>I50-I48</f>
        <v>1035623.5</v>
      </c>
      <c r="K50" s="432">
        <v>9.9982580000000001E-2</v>
      </c>
      <c r="L50" s="338">
        <f>F50*K50</f>
        <v>1796590.6460479335</v>
      </c>
      <c r="M50" s="338">
        <f>L50*2</f>
        <v>3593181.292095867</v>
      </c>
      <c r="N50" s="431">
        <f>M50-M48</f>
        <v>1889010.292095867</v>
      </c>
      <c r="O50" s="323"/>
      <c r="P50" s="348">
        <f>J50</f>
        <v>1035623.5</v>
      </c>
      <c r="Q50" s="349"/>
      <c r="R50" s="350">
        <f>$R$43</f>
        <v>0</v>
      </c>
      <c r="S50" s="350">
        <f>$S$43</f>
        <v>2500000</v>
      </c>
      <c r="T50" s="351">
        <f>$T$43</f>
        <v>0.25</v>
      </c>
      <c r="U50" s="350">
        <f>IF(P50&gt;=S50,(S50-R50)*T50,MAX((P50-R50)*T50,0))</f>
        <v>258905.875</v>
      </c>
      <c r="V50" s="349"/>
      <c r="W50" s="350">
        <f>$W$43</f>
        <v>2500000</v>
      </c>
      <c r="X50" s="350">
        <f>$X$43</f>
        <v>5000000</v>
      </c>
      <c r="Y50" s="351">
        <f>$Y$43</f>
        <v>0.5</v>
      </c>
      <c r="Z50" s="350">
        <f>IF(P50&gt;=X50,(X50-W50)*Y50,MAX((P50-W50)*Y50,0))</f>
        <v>0</v>
      </c>
      <c r="AA50" s="349"/>
      <c r="AB50" s="352">
        <f>$AB$43</f>
        <v>5000000</v>
      </c>
      <c r="AC50" s="352" t="str">
        <f>$AC$43</f>
        <v>NA</v>
      </c>
      <c r="AD50" s="351">
        <f>$AD$43</f>
        <v>0.75</v>
      </c>
      <c r="AE50" s="350">
        <f>IF(P50&gt;=AC50,(AC50-AB50)*AD50,MAX((P50-AB50)*AD50,0))</f>
        <v>0</v>
      </c>
      <c r="AF50" s="353">
        <f>U50+Z50+AE50</f>
        <v>258905.875</v>
      </c>
      <c r="AG50" s="323"/>
      <c r="AH50" s="354">
        <f>M50+AF50</f>
        <v>3852087.167095867</v>
      </c>
      <c r="AI50" s="354">
        <f>AH50-M38</f>
        <v>691459.16709586699</v>
      </c>
      <c r="AJ50" s="323"/>
      <c r="AK50" s="355"/>
      <c r="AL50" s="323"/>
      <c r="AM50" s="356">
        <f>AQ40*0.05</f>
        <v>12853448.602982694</v>
      </c>
      <c r="AN50" s="323"/>
      <c r="AO50" s="355">
        <f>IF(AI50&gt;AM50,AM50,AI50)</f>
        <v>691459.16709586699</v>
      </c>
      <c r="AP50" s="382">
        <f>ROUND(IF(AH50&gt;(M38+AM50),(M38+AM50),AH50),0)</f>
        <v>3852087</v>
      </c>
      <c r="AQ50" s="354">
        <f>AP50-M38</f>
        <v>691459</v>
      </c>
      <c r="AR50" s="270"/>
      <c r="AS50" s="410">
        <f>AP50/2</f>
        <v>1926043.5</v>
      </c>
      <c r="AT50" s="411">
        <f>AP50-AS50</f>
        <v>1926043.5</v>
      </c>
      <c r="AU50" s="270"/>
      <c r="AV50" s="270"/>
      <c r="AW50" s="270"/>
      <c r="AX50" s="270"/>
      <c r="AY50" s="270"/>
      <c r="AZ50" s="270"/>
      <c r="BA50" s="270"/>
      <c r="BB50" s="270"/>
      <c r="BC50" s="270"/>
      <c r="BD50" s="270"/>
      <c r="BE50" s="270"/>
      <c r="BF50" s="270"/>
      <c r="BG50" s="270"/>
      <c r="BH50" s="270"/>
      <c r="BI50" s="270"/>
      <c r="BJ50" s="270"/>
      <c r="BK50" s="270"/>
      <c r="BL50" s="270"/>
      <c r="BM50" s="270"/>
      <c r="BN50" s="270"/>
      <c r="BO50" s="270"/>
    </row>
    <row r="51" spans="1:67">
      <c r="AQ51" s="342"/>
    </row>
    <row r="52" spans="1:67" s="286" customFormat="1" ht="13.2">
      <c r="A52" s="363" t="s">
        <v>226</v>
      </c>
      <c r="C52" s="272"/>
      <c r="D52" s="270"/>
      <c r="E52" s="270"/>
      <c r="F52" s="272"/>
      <c r="G52" s="272"/>
      <c r="H52" s="270"/>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0"/>
      <c r="AH52" s="270"/>
      <c r="AI52" s="270"/>
      <c r="AJ52" s="270"/>
      <c r="AK52" s="270"/>
      <c r="AL52" s="270"/>
      <c r="AM52" s="433"/>
      <c r="AN52" s="433"/>
      <c r="AO52" s="270"/>
      <c r="AP52" s="427"/>
      <c r="AQ52" s="342"/>
      <c r="AR52" s="270"/>
      <c r="AS52" s="270"/>
      <c r="AT52" s="270"/>
      <c r="AU52" s="270"/>
      <c r="AV52" s="270"/>
      <c r="AW52" s="270"/>
      <c r="AX52" s="270"/>
      <c r="AY52" s="270"/>
      <c r="AZ52" s="270"/>
      <c r="BA52" s="270"/>
      <c r="BB52" s="270"/>
      <c r="BC52" s="270"/>
      <c r="BD52" s="270"/>
      <c r="BE52" s="270"/>
      <c r="BF52" s="270"/>
      <c r="BG52" s="270"/>
      <c r="BH52" s="270"/>
      <c r="BI52" s="270"/>
      <c r="BJ52" s="270"/>
      <c r="BK52" s="270"/>
      <c r="BL52" s="270"/>
      <c r="BM52" s="270"/>
      <c r="BN52" s="270"/>
      <c r="BO52" s="270"/>
    </row>
    <row r="53" spans="1:67">
      <c r="A53" s="270"/>
      <c r="B53" s="286"/>
      <c r="C53" s="272"/>
      <c r="D53" s="270"/>
      <c r="E53" s="270"/>
      <c r="F53" s="272"/>
      <c r="G53" s="272"/>
      <c r="H53" s="270"/>
      <c r="I53" s="270"/>
      <c r="J53" s="270"/>
      <c r="K53" s="270"/>
      <c r="L53" s="270"/>
      <c r="M53" s="270"/>
      <c r="N53" s="270"/>
      <c r="O53" s="270"/>
      <c r="P53" s="270"/>
      <c r="Q53" s="270"/>
      <c r="R53" s="270"/>
      <c r="S53" s="270"/>
      <c r="T53" s="270"/>
      <c r="U53" s="270"/>
      <c r="V53" s="270"/>
      <c r="W53" s="270"/>
      <c r="X53" s="270"/>
      <c r="Y53" s="270"/>
      <c r="Z53" s="270"/>
      <c r="AA53" s="270"/>
      <c r="AB53" s="270"/>
      <c r="AC53" s="270"/>
      <c r="AD53" s="270"/>
      <c r="AE53" s="270"/>
      <c r="AF53" s="270"/>
      <c r="AG53" s="270"/>
      <c r="AH53" s="270"/>
      <c r="AI53" s="270"/>
      <c r="AJ53" s="270"/>
      <c r="AK53" s="414"/>
      <c r="AL53" s="270"/>
      <c r="AM53" s="433"/>
      <c r="AN53" s="433"/>
      <c r="AO53" s="1034"/>
      <c r="AP53" s="1034"/>
      <c r="AQ53" s="1034"/>
      <c r="AR53" s="1034"/>
      <c r="AS53" s="1034"/>
      <c r="AT53" s="1034"/>
      <c r="AU53" s="270"/>
      <c r="AV53" s="270"/>
      <c r="AW53" s="270"/>
      <c r="AX53" s="270"/>
      <c r="AY53" s="270"/>
      <c r="AZ53" s="270"/>
      <c r="BA53" s="270"/>
      <c r="BB53" s="270"/>
      <c r="BC53" s="270"/>
      <c r="BD53" s="270"/>
      <c r="BE53" s="270"/>
      <c r="BF53" s="270"/>
      <c r="BG53" s="270"/>
      <c r="BH53" s="270"/>
      <c r="BI53" s="270"/>
      <c r="BJ53" s="270"/>
      <c r="BK53" s="270"/>
      <c r="BL53" s="270"/>
      <c r="BM53" s="270"/>
      <c r="BN53" s="270"/>
      <c r="BO53" s="270"/>
    </row>
  </sheetData>
  <mergeCells count="85">
    <mergeCell ref="AO53:AT53"/>
    <mergeCell ref="AB41:AE41"/>
    <mergeCell ref="AS41:AT41"/>
    <mergeCell ref="AK42:AK43"/>
    <mergeCell ref="AM42:AM43"/>
    <mergeCell ref="AS42:AT42"/>
    <mergeCell ref="A43:B43"/>
    <mergeCell ref="AF40:AF43"/>
    <mergeCell ref="AH40:AH43"/>
    <mergeCell ref="AI40:AI43"/>
    <mergeCell ref="AO40:AP40"/>
    <mergeCell ref="C41:D42"/>
    <mergeCell ref="F41:F42"/>
    <mergeCell ref="G41:H42"/>
    <mergeCell ref="I41:J41"/>
    <mergeCell ref="R41:U41"/>
    <mergeCell ref="W41:Z41"/>
    <mergeCell ref="C39:H40"/>
    <mergeCell ref="K39:N41"/>
    <mergeCell ref="P39:AF39"/>
    <mergeCell ref="AH39:AI39"/>
    <mergeCell ref="AK39:AM41"/>
    <mergeCell ref="AO39:AP39"/>
    <mergeCell ref="P40:P42"/>
    <mergeCell ref="R40:U40"/>
    <mergeCell ref="W40:Z40"/>
    <mergeCell ref="AB40:AE40"/>
    <mergeCell ref="AK25:AK26"/>
    <mergeCell ref="AM25:AM26"/>
    <mergeCell ref="AS25:AT25"/>
    <mergeCell ref="A26:B26"/>
    <mergeCell ref="AH23:AH26"/>
    <mergeCell ref="A37:K38"/>
    <mergeCell ref="AO37:AT37"/>
    <mergeCell ref="AI23:AI26"/>
    <mergeCell ref="AO23:AP23"/>
    <mergeCell ref="C24:D25"/>
    <mergeCell ref="F24:F25"/>
    <mergeCell ref="G24:H25"/>
    <mergeCell ref="I24:J24"/>
    <mergeCell ref="R24:U24"/>
    <mergeCell ref="W24:Z24"/>
    <mergeCell ref="AB24:AE24"/>
    <mergeCell ref="P23:P25"/>
    <mergeCell ref="R23:U23"/>
    <mergeCell ref="W23:Z23"/>
    <mergeCell ref="AB23:AE23"/>
    <mergeCell ref="AF23:AF26"/>
    <mergeCell ref="A17:S18"/>
    <mergeCell ref="A20:K21"/>
    <mergeCell ref="AS21:AT21"/>
    <mergeCell ref="C22:H23"/>
    <mergeCell ref="K22:N24"/>
    <mergeCell ref="P22:AF22"/>
    <mergeCell ref="AH22:AI22"/>
    <mergeCell ref="AK22:AM24"/>
    <mergeCell ref="AO22:AP22"/>
    <mergeCell ref="AS24:AT24"/>
    <mergeCell ref="AS6:AT6"/>
    <mergeCell ref="AK7:AK8"/>
    <mergeCell ref="AM7:AM8"/>
    <mergeCell ref="AS7:AT7"/>
    <mergeCell ref="A8:B8"/>
    <mergeCell ref="AO4:AP4"/>
    <mergeCell ref="P5:P7"/>
    <mergeCell ref="R5:U5"/>
    <mergeCell ref="W5:Z5"/>
    <mergeCell ref="AB5:AE5"/>
    <mergeCell ref="AF5:AF8"/>
    <mergeCell ref="AH5:AH8"/>
    <mergeCell ref="AI5:AI8"/>
    <mergeCell ref="AO5:AP5"/>
    <mergeCell ref="R6:U6"/>
    <mergeCell ref="AK4:AM6"/>
    <mergeCell ref="W6:Z6"/>
    <mergeCell ref="AB6:AE6"/>
    <mergeCell ref="A2:K3"/>
    <mergeCell ref="C4:H5"/>
    <mergeCell ref="K4:N6"/>
    <mergeCell ref="P4:AF4"/>
    <mergeCell ref="AH4:AI4"/>
    <mergeCell ref="C6:D7"/>
    <mergeCell ref="F6:F7"/>
    <mergeCell ref="G6:H7"/>
    <mergeCell ref="I6:J6"/>
  </mergeCells>
  <printOptions horizontalCentered="1"/>
  <pageMargins left="0.25" right="0.25" top="0.25" bottom="0.25" header="0.3" footer="0.3"/>
  <pageSetup paperSize="5" scale="57" fitToHeight="0" orientation="landscape" horizontalDpi="4294967295" verticalDpi="4294967295"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19E1F-9845-408F-9616-12E2130DBE31}">
  <dimension ref="A2:E10"/>
  <sheetViews>
    <sheetView workbookViewId="0"/>
  </sheetViews>
  <sheetFormatPr defaultColWidth="8.6640625" defaultRowHeight="13.8"/>
  <cols>
    <col min="1" max="1" width="28.109375" style="227" bestFit="1" customWidth="1"/>
    <col min="2" max="2" width="16.88671875" style="227" bestFit="1" customWidth="1"/>
    <col min="3" max="3" width="15.88671875" style="227" bestFit="1" customWidth="1"/>
    <col min="4" max="4" width="16.88671875" style="227" bestFit="1" customWidth="1"/>
    <col min="5" max="5" width="21.109375" style="227" bestFit="1" customWidth="1"/>
    <col min="6" max="16384" width="8.6640625" style="227"/>
  </cols>
  <sheetData>
    <row r="2" spans="1:5">
      <c r="E2" s="229" t="s">
        <v>227</v>
      </c>
    </row>
    <row r="3" spans="1:5" s="434" customFormat="1" ht="69">
      <c r="B3" s="435" t="s">
        <v>228</v>
      </c>
      <c r="C3" s="435" t="s">
        <v>229</v>
      </c>
      <c r="D3" s="435" t="s">
        <v>230</v>
      </c>
      <c r="E3" s="435" t="s">
        <v>231</v>
      </c>
    </row>
    <row r="5" spans="1:5">
      <c r="A5" s="227" t="s">
        <v>3</v>
      </c>
      <c r="B5" s="436">
        <v>356843816.82997632</v>
      </c>
      <c r="C5" s="436">
        <v>-37038500</v>
      </c>
      <c r="D5" s="437">
        <f t="shared" ref="D5:D10" si="0">SUM(B5:C5)</f>
        <v>319805316.82997632</v>
      </c>
      <c r="E5" s="438">
        <f t="shared" ref="E5:E10" si="1">D5*0.05</f>
        <v>15990265.841498816</v>
      </c>
    </row>
    <row r="6" spans="1:5">
      <c r="A6" s="227" t="s">
        <v>5</v>
      </c>
      <c r="B6" s="439">
        <v>386974095.76926899</v>
      </c>
      <c r="C6" s="439">
        <v>-37499000</v>
      </c>
      <c r="D6" s="440">
        <f t="shared" si="0"/>
        <v>349475095.76926899</v>
      </c>
      <c r="E6" s="441">
        <f t="shared" si="1"/>
        <v>17473754.788463451</v>
      </c>
    </row>
    <row r="7" spans="1:5">
      <c r="A7" s="227" t="s">
        <v>6</v>
      </c>
      <c r="B7" s="439">
        <v>293142235.52728248</v>
      </c>
      <c r="C7" s="439">
        <v>-31792000</v>
      </c>
      <c r="D7" s="440">
        <f t="shared" si="0"/>
        <v>261350235.52728248</v>
      </c>
      <c r="E7" s="441">
        <f t="shared" si="1"/>
        <v>13067511.776364125</v>
      </c>
    </row>
    <row r="8" spans="1:5">
      <c r="A8" s="227" t="s">
        <v>9</v>
      </c>
      <c r="B8" s="439">
        <v>304931771.98640746</v>
      </c>
      <c r="C8" s="439">
        <v>-37079926</v>
      </c>
      <c r="D8" s="440">
        <f t="shared" si="0"/>
        <v>267851845.98640746</v>
      </c>
      <c r="E8" s="441">
        <f t="shared" si="1"/>
        <v>13392592.299320374</v>
      </c>
    </row>
    <row r="9" spans="1:5">
      <c r="A9" s="227" t="s">
        <v>10</v>
      </c>
      <c r="B9" s="439">
        <v>191881829.15403539</v>
      </c>
      <c r="C9" s="439">
        <v>-19803002</v>
      </c>
      <c r="D9" s="440">
        <f>SUM(B9:C9)</f>
        <v>172078827.15403539</v>
      </c>
      <c r="E9" s="441">
        <f t="shared" si="1"/>
        <v>8603941.3577017691</v>
      </c>
    </row>
    <row r="10" spans="1:5">
      <c r="A10" s="227" t="s">
        <v>11</v>
      </c>
      <c r="B10" s="442">
        <v>275385309.05965388</v>
      </c>
      <c r="C10" s="442">
        <v>-18316337</v>
      </c>
      <c r="D10" s="443">
        <f t="shared" si="0"/>
        <v>257068972.05965388</v>
      </c>
      <c r="E10" s="444">
        <f t="shared" si="1"/>
        <v>12853448.602982694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37</vt:i4>
      </vt:variant>
    </vt:vector>
  </HeadingPairs>
  <TitlesOfParts>
    <vt:vector size="50" baseType="lpstr">
      <vt:lpstr>Overall Summary FY 24-25</vt:lpstr>
      <vt:lpstr>FTSE Summary</vt:lpstr>
      <vt:lpstr>I&amp;O Calc</vt:lpstr>
      <vt:lpstr>NewData</vt:lpstr>
      <vt:lpstr>Weights</vt:lpstr>
      <vt:lpstr>Infrastructure</vt:lpstr>
      <vt:lpstr>Research</vt:lpstr>
      <vt:lpstr>GME</vt:lpstr>
      <vt:lpstr>Summary Mission Specifics</vt:lpstr>
      <vt:lpstr>Clinical Mission Specifics</vt:lpstr>
      <vt:lpstr>Performance-Based Research Ops</vt:lpstr>
      <vt:lpstr>New Performance-Based Research</vt:lpstr>
      <vt:lpstr>Governor Calculation</vt:lpstr>
      <vt:lpstr>AllFormulas</vt:lpstr>
      <vt:lpstr>AllWeights</vt:lpstr>
      <vt:lpstr>BIENNIALTOTAL</vt:lpstr>
      <vt:lpstr>collegecode</vt:lpstr>
      <vt:lpstr>FTSErecap</vt:lpstr>
      <vt:lpstr>GME</vt:lpstr>
      <vt:lpstr>IandO</vt:lpstr>
      <vt:lpstr>Infrastructure</vt:lpstr>
      <vt:lpstr>MDAnderson</vt:lpstr>
      <vt:lpstr>Mission</vt:lpstr>
      <vt:lpstr>'FTSE Summary'!Print_Area</vt:lpstr>
      <vt:lpstr>'I&amp;O Calc'!Print_Area</vt:lpstr>
      <vt:lpstr>'New Performance-Based Research'!Print_Area</vt:lpstr>
      <vt:lpstr>'Overall Summary FY 24-25'!Print_Area</vt:lpstr>
      <vt:lpstr>'Performance-Based Research Ops'!Print_Area</vt:lpstr>
      <vt:lpstr>Research!Print_Area</vt:lpstr>
      <vt:lpstr>'I&amp;O Calc'!Print_Titles</vt:lpstr>
      <vt:lpstr>'New Performance-Based Research'!Print_Titles</vt:lpstr>
      <vt:lpstr>'Performance-Based Research Ops'!Print_Titles</vt:lpstr>
      <vt:lpstr>remotecode</vt:lpstr>
      <vt:lpstr>Research</vt:lpstr>
      <vt:lpstr>SHSU</vt:lpstr>
      <vt:lpstr>SumbyFormula</vt:lpstr>
      <vt:lpstr>TAMU</vt:lpstr>
      <vt:lpstr>Total</vt:lpstr>
      <vt:lpstr>TTU</vt:lpstr>
      <vt:lpstr>TTUElPaso</vt:lpstr>
      <vt:lpstr>Tyler</vt:lpstr>
      <vt:lpstr>UH</vt:lpstr>
      <vt:lpstr>UTDell</vt:lpstr>
      <vt:lpstr>UTHouston</vt:lpstr>
      <vt:lpstr>UTHSCSA</vt:lpstr>
      <vt:lpstr>UTMB</vt:lpstr>
      <vt:lpstr>UTRGV</vt:lpstr>
      <vt:lpstr>UTSA</vt:lpstr>
      <vt:lpstr>UTSW</vt:lpstr>
      <vt:lpstr>weights</vt:lpstr>
    </vt:vector>
  </TitlesOfParts>
  <Company>THECB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Basis of Legislative Appropriations for Health-Related Institutions 2024-2025</dc:title>
  <dc:subject>Formula Funding</dc:subject>
  <dc:creator>Funding and Resource Planning</dc:creator>
  <cp:keywords>Formula Funding, Legislative Appropriations, Health-Related Institutions</cp:keywords>
  <cp:lastModifiedBy>King, Clifford</cp:lastModifiedBy>
  <cp:lastPrinted>2022-10-28T16:14:14Z</cp:lastPrinted>
  <dcterms:created xsi:type="dcterms:W3CDTF">2018-10-18T18:45:43Z</dcterms:created>
  <dcterms:modified xsi:type="dcterms:W3CDTF">2023-08-25T21:27:08Z</dcterms:modified>
</cp:coreProperties>
</file>