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PP\PA\PAForum\Web Publications\FINANCE\Formula Funding and Advisory Committees\2020-2021 Biennium\Advisory Committee\HRI Materials\"/>
    </mc:Choice>
  </mc:AlternateContent>
  <bookViews>
    <workbookView xWindow="405" yWindow="30" windowWidth="14520" windowHeight="8580" tabRatio="806"/>
  </bookViews>
  <sheets>
    <sheet name="LBB FY 18-19" sheetId="46" r:id="rId1"/>
    <sheet name="GME History" sheetId="10" r:id="rId2"/>
  </sheets>
  <definedNames>
    <definedName name="_xlnm.Print_Area" localSheetId="1">'GME History'!$B$1:$J$68</definedName>
    <definedName name="_xlnm.Print_Area" localSheetId="0">'LBB FY 18-19'!$A$1:$H$24</definedName>
  </definedNames>
  <calcPr calcId="152511"/>
</workbook>
</file>

<file path=xl/calcChain.xml><?xml version="1.0" encoding="utf-8"?>
<calcChain xmlns="http://schemas.openxmlformats.org/spreadsheetml/2006/main">
  <c r="R18" i="10" l="1"/>
  <c r="S18" i="10" s="1"/>
  <c r="R17" i="10"/>
  <c r="S17" i="10" s="1"/>
  <c r="Q73" i="10" l="1"/>
  <c r="Q64" i="10"/>
  <c r="Q66" i="10" s="1"/>
  <c r="Q46" i="10"/>
  <c r="Q48" i="10" s="1"/>
  <c r="C195" i="46"/>
  <c r="E193" i="46"/>
  <c r="C191" i="46"/>
  <c r="E190" i="46"/>
  <c r="G190" i="46" s="1"/>
  <c r="E189" i="46"/>
  <c r="G189" i="46" s="1"/>
  <c r="E188" i="46"/>
  <c r="G188" i="46" s="1"/>
  <c r="E187" i="46"/>
  <c r="G187" i="46" s="1"/>
  <c r="E186" i="46"/>
  <c r="G186" i="46" s="1"/>
  <c r="G185" i="46"/>
  <c r="E185" i="46"/>
  <c r="E184" i="46"/>
  <c r="G184" i="46" s="1"/>
  <c r="E183" i="46"/>
  <c r="G183" i="46" s="1"/>
  <c r="G182" i="46"/>
  <c r="E182" i="46"/>
  <c r="E178" i="46"/>
  <c r="C178" i="46"/>
  <c r="H175" i="46"/>
  <c r="F175" i="46"/>
  <c r="D174" i="46"/>
  <c r="D176" i="46" s="1"/>
  <c r="B174" i="46"/>
  <c r="B176" i="46" s="1"/>
  <c r="H173" i="46"/>
  <c r="F173" i="46"/>
  <c r="H172" i="46"/>
  <c r="F172" i="46"/>
  <c r="H171" i="46"/>
  <c r="F171" i="46"/>
  <c r="H170" i="46"/>
  <c r="F170" i="46"/>
  <c r="H169" i="46"/>
  <c r="F169" i="46"/>
  <c r="H168" i="46"/>
  <c r="F168" i="46"/>
  <c r="H167" i="46"/>
  <c r="F167" i="46"/>
  <c r="H166" i="46"/>
  <c r="F166" i="46"/>
  <c r="H165" i="46"/>
  <c r="F165" i="46"/>
  <c r="E153" i="46"/>
  <c r="G152" i="46"/>
  <c r="J105" i="46"/>
  <c r="D104" i="46"/>
  <c r="D103" i="46"/>
  <c r="D102" i="46"/>
  <c r="D101" i="46"/>
  <c r="D100" i="46"/>
  <c r="D99" i="46"/>
  <c r="C89" i="46"/>
  <c r="H88" i="46"/>
  <c r="H90" i="46" s="1"/>
  <c r="F88" i="46"/>
  <c r="F90" i="46" s="1"/>
  <c r="E88" i="46"/>
  <c r="C87" i="46"/>
  <c r="C86" i="46"/>
  <c r="C85" i="46"/>
  <c r="C84" i="46"/>
  <c r="C83" i="46"/>
  <c r="D83" i="46" s="1"/>
  <c r="G83" i="46" s="1"/>
  <c r="I83" i="46" s="1"/>
  <c r="J83" i="46" s="1"/>
  <c r="C82" i="46"/>
  <c r="C81" i="46"/>
  <c r="C80" i="46"/>
  <c r="C79" i="46"/>
  <c r="C78" i="46"/>
  <c r="C77" i="46"/>
  <c r="C76" i="46"/>
  <c r="D75" i="46"/>
  <c r="D85" i="46" s="1"/>
  <c r="G85" i="46" s="1"/>
  <c r="I85" i="46" s="1"/>
  <c r="J85" i="46" s="1"/>
  <c r="C74" i="46"/>
  <c r="C73" i="46"/>
  <c r="G69" i="46"/>
  <c r="E69" i="46"/>
  <c r="F69" i="46" s="1"/>
  <c r="I69" i="46" s="1"/>
  <c r="D68" i="46"/>
  <c r="D70" i="46" s="1"/>
  <c r="C68" i="46"/>
  <c r="C70" i="46" s="1"/>
  <c r="E67" i="46"/>
  <c r="G67" i="46" s="1"/>
  <c r="E66" i="46"/>
  <c r="G66" i="46" s="1"/>
  <c r="E65" i="46"/>
  <c r="G65" i="46" s="1"/>
  <c r="E64" i="46"/>
  <c r="G64" i="46" s="1"/>
  <c r="F63" i="46"/>
  <c r="I63" i="46" s="1"/>
  <c r="E63" i="46"/>
  <c r="G63" i="46" s="1"/>
  <c r="E62" i="46"/>
  <c r="G62" i="46" s="1"/>
  <c r="F61" i="46"/>
  <c r="I61" i="46" s="1"/>
  <c r="E61" i="46"/>
  <c r="G61" i="46" s="1"/>
  <c r="E60" i="46"/>
  <c r="G60" i="46" s="1"/>
  <c r="E59" i="46"/>
  <c r="G59" i="46" s="1"/>
  <c r="G58" i="46"/>
  <c r="E58" i="46"/>
  <c r="F58" i="46" s="1"/>
  <c r="I58" i="46" s="1"/>
  <c r="E57" i="46"/>
  <c r="G57" i="46" s="1"/>
  <c r="E56" i="46"/>
  <c r="I51" i="46"/>
  <c r="G48" i="46"/>
  <c r="B48" i="46"/>
  <c r="F47" i="46"/>
  <c r="H47" i="46" s="1"/>
  <c r="G46" i="46"/>
  <c r="E46" i="46"/>
  <c r="E48" i="46" s="1"/>
  <c r="D46" i="46"/>
  <c r="D48" i="46" s="1"/>
  <c r="D49" i="46" s="1"/>
  <c r="C46" i="46"/>
  <c r="C48" i="46" s="1"/>
  <c r="C49" i="46" s="1"/>
  <c r="B46" i="46"/>
  <c r="F45" i="46"/>
  <c r="H45" i="46" s="1"/>
  <c r="F44" i="46"/>
  <c r="H44" i="46" s="1"/>
  <c r="F43" i="46"/>
  <c r="H43" i="46" s="1"/>
  <c r="F42" i="46"/>
  <c r="H42" i="46" s="1"/>
  <c r="F41" i="46"/>
  <c r="H41" i="46" s="1"/>
  <c r="F40" i="46"/>
  <c r="H40" i="46" s="1"/>
  <c r="F39" i="46"/>
  <c r="H39" i="46" s="1"/>
  <c r="F38" i="46"/>
  <c r="H38" i="46" s="1"/>
  <c r="F37" i="46"/>
  <c r="H37" i="46" s="1"/>
  <c r="F36" i="46"/>
  <c r="H36" i="46" s="1"/>
  <c r="F35" i="46"/>
  <c r="F34" i="46"/>
  <c r="H34" i="46" s="1"/>
  <c r="I33" i="46"/>
  <c r="B25" i="46"/>
  <c r="B23" i="46"/>
  <c r="F21" i="46"/>
  <c r="F23" i="46" s="1"/>
  <c r="B21" i="46"/>
  <c r="D6" i="46"/>
  <c r="D11" i="46" s="1"/>
  <c r="C6" i="46"/>
  <c r="C20" i="46" s="1"/>
  <c r="D82" i="46" l="1"/>
  <c r="G82" i="46" s="1"/>
  <c r="I82" i="46" s="1"/>
  <c r="J82" i="46" s="1"/>
  <c r="H176" i="46"/>
  <c r="D76" i="46"/>
  <c r="G76" i="46" s="1"/>
  <c r="H174" i="46"/>
  <c r="C88" i="46"/>
  <c r="C90" i="46" s="1"/>
  <c r="C10" i="46"/>
  <c r="C16" i="46"/>
  <c r="D79" i="46"/>
  <c r="G79" i="46" s="1"/>
  <c r="I79" i="46" s="1"/>
  <c r="J79" i="46" s="1"/>
  <c r="F174" i="46"/>
  <c r="F176" i="46" s="1"/>
  <c r="F66" i="46"/>
  <c r="I66" i="46" s="1"/>
  <c r="D80" i="46"/>
  <c r="G80" i="46" s="1"/>
  <c r="I80" i="46" s="1"/>
  <c r="J80" i="46" s="1"/>
  <c r="D81" i="46"/>
  <c r="G81" i="46" s="1"/>
  <c r="I81" i="46" s="1"/>
  <c r="J81" i="46" s="1"/>
  <c r="D87" i="46"/>
  <c r="G87" i="46" s="1"/>
  <c r="I87" i="46" s="1"/>
  <c r="J87" i="46" s="1"/>
  <c r="E191" i="46"/>
  <c r="G191" i="46"/>
  <c r="E68" i="46"/>
  <c r="F64" i="46"/>
  <c r="I64" i="46" s="1"/>
  <c r="F56" i="46"/>
  <c r="D77" i="46"/>
  <c r="G77" i="46" s="1"/>
  <c r="I77" i="46" s="1"/>
  <c r="J77" i="46" s="1"/>
  <c r="D84" i="46"/>
  <c r="G84" i="46" s="1"/>
  <c r="I84" i="46" s="1"/>
  <c r="J84" i="46" s="1"/>
  <c r="D89" i="46"/>
  <c r="G89" i="46" s="1"/>
  <c r="I89" i="46" s="1"/>
  <c r="J89" i="46" s="1"/>
  <c r="G56" i="46"/>
  <c r="F46" i="46"/>
  <c r="F48" i="46" s="1"/>
  <c r="C167" i="46"/>
  <c r="C19" i="46"/>
  <c r="G68" i="46"/>
  <c r="E70" i="46"/>
  <c r="D13" i="46"/>
  <c r="E195" i="46"/>
  <c r="G193" i="46"/>
  <c r="G195" i="46" s="1"/>
  <c r="C9" i="46"/>
  <c r="D16" i="46"/>
  <c r="D19" i="46"/>
  <c r="D9" i="46"/>
  <c r="C12" i="46"/>
  <c r="C18" i="46"/>
  <c r="I56" i="46"/>
  <c r="F59" i="46"/>
  <c r="I59" i="46" s="1"/>
  <c r="F62" i="46"/>
  <c r="I62" i="46" s="1"/>
  <c r="F67" i="46"/>
  <c r="I67" i="46" s="1"/>
  <c r="D12" i="46"/>
  <c r="C15" i="46"/>
  <c r="D18" i="46"/>
  <c r="H35" i="46"/>
  <c r="H46" i="46" s="1"/>
  <c r="E156" i="46"/>
  <c r="E158" i="46" s="1"/>
  <c r="G153" i="46"/>
  <c r="G156" i="46" s="1"/>
  <c r="C11" i="46"/>
  <c r="E11" i="46" s="1"/>
  <c r="F57" i="46"/>
  <c r="I57" i="46" s="1"/>
  <c r="F60" i="46"/>
  <c r="I60" i="46" s="1"/>
  <c r="F65" i="46"/>
  <c r="I65" i="46" s="1"/>
  <c r="D78" i="46"/>
  <c r="G78" i="46" s="1"/>
  <c r="I78" i="46" s="1"/>
  <c r="J78" i="46" s="1"/>
  <c r="D86" i="46"/>
  <c r="G86" i="46" s="1"/>
  <c r="I86" i="46" s="1"/>
  <c r="J86" i="46" s="1"/>
  <c r="C173" i="46"/>
  <c r="C17" i="46"/>
  <c r="C22" i="46"/>
  <c r="C165" i="46"/>
  <c r="D14" i="46"/>
  <c r="D15" i="46"/>
  <c r="D17" i="46"/>
  <c r="D22" i="46"/>
  <c r="C171" i="46"/>
  <c r="C13" i="46"/>
  <c r="C166" i="46"/>
  <c r="C14" i="46"/>
  <c r="C175" i="46"/>
  <c r="C169" i="46"/>
  <c r="D10" i="46"/>
  <c r="E10" i="46" s="1"/>
  <c r="D20" i="46"/>
  <c r="E20" i="46" s="1"/>
  <c r="C168" i="46"/>
  <c r="C170" i="46"/>
  <c r="C172" i="46"/>
  <c r="R21" i="10"/>
  <c r="R16" i="10"/>
  <c r="S16" i="10" s="1"/>
  <c r="R15" i="10"/>
  <c r="R14" i="10"/>
  <c r="S14" i="10" s="1"/>
  <c r="R13" i="10"/>
  <c r="S13" i="10" s="1"/>
  <c r="R12" i="10"/>
  <c r="S12" i="10" s="1"/>
  <c r="R11" i="10"/>
  <c r="S11" i="10" s="1"/>
  <c r="R10" i="10"/>
  <c r="S10" i="10" s="1"/>
  <c r="R9" i="10"/>
  <c r="S9" i="10" s="1"/>
  <c r="R8" i="10"/>
  <c r="S8" i="10" s="1"/>
  <c r="R7" i="10"/>
  <c r="S7" i="10" s="1"/>
  <c r="S15" i="10"/>
  <c r="D88" i="46" l="1"/>
  <c r="D90" i="46" s="1"/>
  <c r="E16" i="46"/>
  <c r="G16" i="46" s="1"/>
  <c r="H16" i="46" s="1"/>
  <c r="E15" i="46"/>
  <c r="G15" i="46" s="1"/>
  <c r="H15" i="46" s="1"/>
  <c r="E19" i="46"/>
  <c r="E27" i="46" s="1"/>
  <c r="E14" i="46"/>
  <c r="E170" i="46" s="1"/>
  <c r="G170" i="46" s="1"/>
  <c r="E17" i="46"/>
  <c r="I42" i="46" s="1"/>
  <c r="J42" i="46" s="1"/>
  <c r="E13" i="46"/>
  <c r="G13" i="46" s="1"/>
  <c r="H13" i="46" s="1"/>
  <c r="E18" i="46"/>
  <c r="I43" i="46" s="1"/>
  <c r="J43" i="46" s="1"/>
  <c r="C21" i="46"/>
  <c r="C23" i="46" s="1"/>
  <c r="H52" i="46"/>
  <c r="H48" i="46"/>
  <c r="E172" i="46"/>
  <c r="G172" i="46" s="1"/>
  <c r="I41" i="46"/>
  <c r="J41" i="46" s="1"/>
  <c r="G20" i="46"/>
  <c r="H20" i="46" s="1"/>
  <c r="I45" i="46"/>
  <c r="J45" i="46" s="1"/>
  <c r="E173" i="46"/>
  <c r="G173" i="46" s="1"/>
  <c r="E22" i="46"/>
  <c r="E166" i="46"/>
  <c r="G166" i="46" s="1"/>
  <c r="G10" i="46"/>
  <c r="H10" i="46" s="1"/>
  <c r="I35" i="46"/>
  <c r="J35" i="46" s="1"/>
  <c r="I76" i="46"/>
  <c r="G88" i="46"/>
  <c r="G90" i="46" s="1"/>
  <c r="I36" i="46"/>
  <c r="J36" i="46" s="1"/>
  <c r="G11" i="46"/>
  <c r="H11" i="46" s="1"/>
  <c r="E167" i="46"/>
  <c r="G167" i="46" s="1"/>
  <c r="C174" i="46"/>
  <c r="C176" i="46" s="1"/>
  <c r="E12" i="46"/>
  <c r="D21" i="46"/>
  <c r="D23" i="46" s="1"/>
  <c r="E9" i="46"/>
  <c r="F68" i="46"/>
  <c r="G70" i="46"/>
  <c r="E71" i="46"/>
  <c r="G19" i="46" l="1"/>
  <c r="H19" i="46" s="1"/>
  <c r="I44" i="46"/>
  <c r="J44" i="46" s="1"/>
  <c r="G18" i="46"/>
  <c r="H18" i="46" s="1"/>
  <c r="E171" i="46"/>
  <c r="G171" i="46" s="1"/>
  <c r="I40" i="46"/>
  <c r="J40" i="46" s="1"/>
  <c r="G14" i="46"/>
  <c r="H14" i="46" s="1"/>
  <c r="I39" i="46"/>
  <c r="J39" i="46" s="1"/>
  <c r="I38" i="46"/>
  <c r="J38" i="46" s="1"/>
  <c r="G17" i="46"/>
  <c r="H17" i="46" s="1"/>
  <c r="E169" i="46"/>
  <c r="G169" i="46" s="1"/>
  <c r="G12" i="46"/>
  <c r="H12" i="46" s="1"/>
  <c r="I37" i="46"/>
  <c r="J37" i="46" s="1"/>
  <c r="E168" i="46"/>
  <c r="G168" i="46" s="1"/>
  <c r="E175" i="46"/>
  <c r="G175" i="46" s="1"/>
  <c r="I47" i="46"/>
  <c r="J47" i="46" s="1"/>
  <c r="G22" i="46"/>
  <c r="I88" i="46"/>
  <c r="I90" i="46" s="1"/>
  <c r="J76" i="46"/>
  <c r="J88" i="46" s="1"/>
  <c r="J90" i="46" s="1"/>
  <c r="F70" i="46"/>
  <c r="I70" i="46" s="1"/>
  <c r="I68" i="46"/>
  <c r="G9" i="46"/>
  <c r="E21" i="46"/>
  <c r="E28" i="46" s="1"/>
  <c r="E165" i="46"/>
  <c r="I34" i="46"/>
  <c r="J34" i="46" l="1"/>
  <c r="I46" i="46"/>
  <c r="H22" i="46"/>
  <c r="E174" i="46"/>
  <c r="E176" i="46" s="1"/>
  <c r="G165" i="46"/>
  <c r="G174" i="46" s="1"/>
  <c r="G176" i="46" s="1"/>
  <c r="E23" i="46"/>
  <c r="H9" i="46"/>
  <c r="G21" i="46"/>
  <c r="H21" i="46" s="1"/>
  <c r="G23" i="46" l="1"/>
  <c r="H23" i="46" s="1"/>
  <c r="J46" i="46"/>
  <c r="I48" i="46"/>
  <c r="J48" i="46" s="1"/>
  <c r="P19" i="10" l="1"/>
  <c r="P23" i="10" s="1"/>
  <c r="R24" i="10" l="1"/>
  <c r="O73" i="10" l="1"/>
  <c r="O64" i="10" l="1"/>
  <c r="O66" i="10" s="1"/>
  <c r="O46" i="10"/>
  <c r="O48" i="10" s="1"/>
  <c r="O117" i="10"/>
  <c r="O115" i="10"/>
  <c r="O114" i="10"/>
  <c r="O116" i="10"/>
  <c r="O119" i="10"/>
  <c r="O113" i="10"/>
  <c r="O118" i="10"/>
  <c r="O120" i="10"/>
  <c r="O112" i="10" l="1"/>
  <c r="O121" i="10" s="1"/>
  <c r="O123" i="10" s="1"/>
  <c r="O125" i="10" s="1"/>
  <c r="O19" i="10"/>
  <c r="O109" i="10" s="1"/>
  <c r="O23" i="10" l="1"/>
  <c r="Q24" i="10" s="1"/>
  <c r="O127" i="10"/>
  <c r="N117" i="10" l="1"/>
  <c r="N115" i="10"/>
  <c r="N114" i="10"/>
  <c r="N116" i="10"/>
  <c r="N119" i="10"/>
  <c r="N113" i="10"/>
  <c r="N118" i="10"/>
  <c r="N120" i="10"/>
  <c r="N112" i="10"/>
  <c r="M117" i="10"/>
  <c r="M115" i="10"/>
  <c r="M114" i="10"/>
  <c r="M116" i="10"/>
  <c r="M119" i="10"/>
  <c r="M113" i="10"/>
  <c r="M118" i="10"/>
  <c r="M120" i="10"/>
  <c r="M112" i="10"/>
  <c r="L117" i="10"/>
  <c r="L115" i="10"/>
  <c r="L114" i="10"/>
  <c r="L116" i="10"/>
  <c r="L119" i="10"/>
  <c r="L113" i="10"/>
  <c r="L118" i="10"/>
  <c r="L120" i="10"/>
  <c r="L112" i="10"/>
  <c r="K117" i="10"/>
  <c r="K115" i="10"/>
  <c r="K114" i="10"/>
  <c r="K116" i="10"/>
  <c r="K119" i="10"/>
  <c r="K113" i="10"/>
  <c r="K118" i="10"/>
  <c r="K120" i="10"/>
  <c r="K112" i="10"/>
  <c r="J117" i="10"/>
  <c r="J115" i="10"/>
  <c r="J114" i="10"/>
  <c r="J116" i="10"/>
  <c r="J119" i="10"/>
  <c r="J113" i="10"/>
  <c r="J118" i="10"/>
  <c r="J120" i="10"/>
  <c r="J112" i="10"/>
  <c r="I117" i="10"/>
  <c r="I115" i="10"/>
  <c r="I114" i="10"/>
  <c r="I116" i="10"/>
  <c r="I119" i="10"/>
  <c r="I113" i="10"/>
  <c r="I118" i="10"/>
  <c r="I120" i="10"/>
  <c r="I112" i="10"/>
  <c r="H117" i="10"/>
  <c r="H115" i="10"/>
  <c r="H114" i="10"/>
  <c r="H116" i="10"/>
  <c r="H119" i="10"/>
  <c r="H113" i="10"/>
  <c r="H118" i="10"/>
  <c r="H120" i="10"/>
  <c r="H112" i="10"/>
  <c r="G117" i="10"/>
  <c r="G115" i="10"/>
  <c r="G114" i="10"/>
  <c r="G116" i="10"/>
  <c r="G119" i="10"/>
  <c r="G113" i="10"/>
  <c r="G118" i="10"/>
  <c r="G120" i="10"/>
  <c r="G112" i="10"/>
  <c r="F117" i="10"/>
  <c r="F115" i="10"/>
  <c r="F114" i="10"/>
  <c r="F116" i="10"/>
  <c r="F119" i="10"/>
  <c r="F113" i="10"/>
  <c r="F118" i="10"/>
  <c r="F120" i="10"/>
  <c r="F112" i="10"/>
  <c r="E117" i="10"/>
  <c r="E115" i="10"/>
  <c r="E114" i="10"/>
  <c r="E116" i="10"/>
  <c r="E119" i="10"/>
  <c r="E113" i="10"/>
  <c r="E118" i="10"/>
  <c r="E120" i="10"/>
  <c r="E112" i="10"/>
  <c r="D117" i="10"/>
  <c r="D115" i="10"/>
  <c r="D114" i="10"/>
  <c r="D116" i="10"/>
  <c r="D119" i="10"/>
  <c r="D113" i="10"/>
  <c r="D118" i="10"/>
  <c r="D120" i="10"/>
  <c r="D112" i="10"/>
  <c r="C117" i="10"/>
  <c r="C115" i="10"/>
  <c r="C114" i="10"/>
  <c r="C116" i="10"/>
  <c r="C119" i="10"/>
  <c r="C113" i="10"/>
  <c r="C118" i="10"/>
  <c r="C120" i="10"/>
  <c r="C112" i="10"/>
  <c r="A150" i="10"/>
  <c r="C121" i="10" l="1"/>
  <c r="C123" i="10" s="1"/>
  <c r="C125" i="10" s="1"/>
  <c r="D121" i="10"/>
  <c r="D123" i="10" s="1"/>
  <c r="D125" i="10" s="1"/>
  <c r="H121" i="10"/>
  <c r="H123" i="10" s="1"/>
  <c r="H125" i="10" s="1"/>
  <c r="L121" i="10"/>
  <c r="L123" i="10" s="1"/>
  <c r="L125" i="10" s="1"/>
  <c r="E121" i="10"/>
  <c r="E123" i="10" s="1"/>
  <c r="E125" i="10" s="1"/>
  <c r="I121" i="10"/>
  <c r="I123" i="10" s="1"/>
  <c r="I125" i="10" s="1"/>
  <c r="M121" i="10"/>
  <c r="M123" i="10" s="1"/>
  <c r="M125" i="10" s="1"/>
  <c r="F121" i="10"/>
  <c r="F123" i="10" s="1"/>
  <c r="F125" i="10" s="1"/>
  <c r="J121" i="10"/>
  <c r="J123" i="10" s="1"/>
  <c r="J125" i="10" s="1"/>
  <c r="N121" i="10"/>
  <c r="N123" i="10" s="1"/>
  <c r="N125" i="10" s="1"/>
  <c r="G121" i="10"/>
  <c r="G123" i="10" s="1"/>
  <c r="G125" i="10" s="1"/>
  <c r="K121" i="10"/>
  <c r="K123" i="10" s="1"/>
  <c r="K125" i="10" s="1"/>
  <c r="O129" i="10" l="1"/>
  <c r="N129" i="10"/>
  <c r="Q115" i="10"/>
  <c r="Q114" i="10"/>
  <c r="Q116" i="10"/>
  <c r="Q119" i="10"/>
  <c r="Q113" i="10"/>
  <c r="Q118" i="10"/>
  <c r="Q120" i="10"/>
  <c r="Q112" i="10"/>
  <c r="Q117" i="10" l="1"/>
  <c r="Q121" i="10" s="1"/>
  <c r="Q123" i="10" s="1"/>
  <c r="N19" i="10" l="1"/>
  <c r="N109" i="10" s="1"/>
  <c r="N127" i="10" s="1"/>
  <c r="N23" i="10" l="1"/>
  <c r="P24" i="10" s="1"/>
  <c r="H80" i="10"/>
  <c r="I80" i="10"/>
  <c r="J80" i="10"/>
  <c r="L80" i="10" l="1"/>
  <c r="M84" i="10" l="1"/>
  <c r="M80" i="10"/>
  <c r="K84" i="10"/>
  <c r="K80" i="10"/>
  <c r="J46" i="10" l="1"/>
  <c r="J48" i="10" s="1"/>
  <c r="M73" i="10" l="1"/>
  <c r="M64" i="10"/>
  <c r="M66" i="10" s="1"/>
  <c r="M46" i="10"/>
  <c r="M48" i="10" s="1"/>
  <c r="M19" i="10"/>
  <c r="M23" i="10" l="1"/>
  <c r="O24" i="10" s="1"/>
  <c r="M109" i="10"/>
  <c r="M127" i="10" s="1"/>
  <c r="Q109" i="10" l="1"/>
  <c r="Q127" i="10" s="1"/>
  <c r="I64" i="10" l="1"/>
  <c r="I66" i="10" s="1"/>
  <c r="I46" i="10"/>
  <c r="I48" i="10" s="1"/>
  <c r="J49" i="10" s="1"/>
  <c r="K73" i="10" l="1"/>
  <c r="K64" i="10"/>
  <c r="K66" i="10" s="1"/>
  <c r="K46" i="10"/>
  <c r="K48" i="10" s="1"/>
  <c r="K19" i="10"/>
  <c r="K23" i="10" l="1"/>
  <c r="M24" i="10" s="1"/>
  <c r="K109" i="10"/>
  <c r="K127" i="10" s="1"/>
  <c r="L19" i="10" l="1"/>
  <c r="L23" i="10" l="1"/>
  <c r="N24" i="10" s="1"/>
  <c r="L109" i="10"/>
  <c r="L127" i="10" s="1"/>
  <c r="I88" i="10" l="1"/>
  <c r="I98" i="10" s="1"/>
  <c r="I96" i="10" l="1"/>
  <c r="I95" i="10"/>
  <c r="I91" i="10"/>
  <c r="I92" i="10"/>
  <c r="I93" i="10"/>
  <c r="I97" i="10"/>
  <c r="I90" i="10"/>
  <c r="I94" i="10"/>
  <c r="I73" i="10"/>
  <c r="G73" i="10"/>
  <c r="J19" i="10"/>
  <c r="J23" i="10" l="1"/>
  <c r="L24" i="10" s="1"/>
  <c r="J109" i="10"/>
  <c r="J127" i="10" s="1"/>
  <c r="H19" i="10" l="1"/>
  <c r="G64" i="10"/>
  <c r="G66" i="10" s="1"/>
  <c r="F64" i="10"/>
  <c r="F66" i="10" s="1"/>
  <c r="I19" i="10"/>
  <c r="I109" i="10" s="1"/>
  <c r="I127" i="10" s="1"/>
  <c r="G46" i="10"/>
  <c r="G48" i="10" s="1"/>
  <c r="F46" i="10"/>
  <c r="F48" i="10" s="1"/>
  <c r="F19" i="10"/>
  <c r="E19" i="10"/>
  <c r="D19" i="10"/>
  <c r="C19" i="10"/>
  <c r="G19" i="10"/>
  <c r="F23" i="10" l="1"/>
  <c r="F109" i="10"/>
  <c r="F127" i="10" s="1"/>
  <c r="C23" i="10"/>
  <c r="C109" i="10"/>
  <c r="C127" i="10" s="1"/>
  <c r="G23" i="10"/>
  <c r="H24" i="10" s="1"/>
  <c r="G109" i="10"/>
  <c r="G127" i="10" s="1"/>
  <c r="D23" i="10"/>
  <c r="D24" i="10" s="1"/>
  <c r="D109" i="10"/>
  <c r="D127" i="10" s="1"/>
  <c r="H23" i="10"/>
  <c r="H109" i="10"/>
  <c r="H127" i="10" s="1"/>
  <c r="E23" i="10"/>
  <c r="E109" i="10"/>
  <c r="E127" i="10" s="1"/>
  <c r="G24" i="10"/>
  <c r="I23" i="10"/>
  <c r="I99" i="10"/>
  <c r="I100" i="10" s="1"/>
  <c r="G67" i="10"/>
  <c r="E24" i="10" l="1"/>
  <c r="F24" i="10"/>
  <c r="I24" i="10"/>
  <c r="K24" i="10"/>
  <c r="J24" i="10"/>
</calcChain>
</file>

<file path=xl/comments1.xml><?xml version="1.0" encoding="utf-8"?>
<comments xmlns="http://schemas.openxmlformats.org/spreadsheetml/2006/main">
  <authors>
    <author>..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All Institutions Certified.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old rate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Use latest count.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Old rate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..:</t>
        </r>
        <r>
          <rPr>
            <sz val="8"/>
            <color indexed="81"/>
            <rFont val="Tahoma"/>
            <family val="2"/>
          </rPr>
          <t xml:space="preserve">
New Rate
</t>
        </r>
      </text>
    </comment>
  </commentList>
</comments>
</file>

<file path=xl/comments2.xml><?xml version="1.0" encoding="utf-8"?>
<comments xmlns="http://schemas.openxmlformats.org/spreadsheetml/2006/main">
  <authors>
    <author>..</author>
    <author>.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Certified.
Rec'd 1-5-2012.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This is a composite rate for total 10-11.</t>
        </r>
      </text>
    </comment>
    <comment ref="F40" authorId="1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LBB 1,988,956 Rounding
</t>
        </r>
      </text>
    </comment>
    <comment ref="F58" authorId="1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LBB 1,988,956 Rounding
</t>
        </r>
      </text>
    </comment>
  </commentList>
</comments>
</file>

<file path=xl/sharedStrings.xml><?xml version="1.0" encoding="utf-8"?>
<sst xmlns="http://schemas.openxmlformats.org/spreadsheetml/2006/main" count="409" uniqueCount="173">
  <si>
    <t>UT Southwestern Medical Center</t>
  </si>
  <si>
    <t>UT Medical Branch Galveston</t>
  </si>
  <si>
    <t>UT HSC Houston</t>
  </si>
  <si>
    <t>UT HSC San Antonio</t>
  </si>
  <si>
    <t>Texas A&amp;M University System HSC</t>
  </si>
  <si>
    <t>University of North Texas HSC</t>
  </si>
  <si>
    <t>Texas Tech University HSC</t>
  </si>
  <si>
    <t>UT M.D. Anderson Cancer Center</t>
  </si>
  <si>
    <t>UT Health Center Tyler</t>
  </si>
  <si>
    <t>Total</t>
  </si>
  <si>
    <t>Health-Related Institutions</t>
  </si>
  <si>
    <t>Baylor College of Medicine</t>
  </si>
  <si>
    <t>Total GME</t>
  </si>
  <si>
    <t>Total Request FY 08-09 (1 Yr.)</t>
  </si>
  <si>
    <t>Base FY 06-07 (1Yr.)</t>
  </si>
  <si>
    <t>No. of Residents</t>
  </si>
  <si>
    <t>7.55 % HECA Inflation (1 Yr.)</t>
  </si>
  <si>
    <t>Biennium</t>
  </si>
  <si>
    <t>w/ Residents 6/30/06</t>
  </si>
  <si>
    <t>Difference Due</t>
  </si>
  <si>
    <t>To Change In</t>
  </si>
  <si>
    <t>Resident Mix</t>
  </si>
  <si>
    <t>Residents At</t>
  </si>
  <si>
    <t xml:space="preserve"> 6/30/06</t>
  </si>
  <si>
    <t>w/ Residents 6/30/05</t>
  </si>
  <si>
    <t xml:space="preserve"> 6/30/05</t>
  </si>
  <si>
    <t>Difference</t>
  </si>
  <si>
    <t>Inc. (Dec.)</t>
  </si>
  <si>
    <t>% Increase</t>
  </si>
  <si>
    <t>In</t>
  </si>
  <si>
    <t>Residents</t>
  </si>
  <si>
    <t>FY 2008 - 09</t>
  </si>
  <si>
    <t>Rate Calculation (1 Yr.)</t>
  </si>
  <si>
    <t>Total GME Formula</t>
  </si>
  <si>
    <t>Sub-Total Public Institutions</t>
  </si>
  <si>
    <t>Institution</t>
  </si>
  <si>
    <t>FY 06-07</t>
  </si>
  <si>
    <t>Appropriation</t>
  </si>
  <si>
    <t>Biennium Rate Used in Above Table</t>
  </si>
  <si>
    <t>for FY 08-09</t>
  </si>
  <si>
    <t>CB Recommended Rate</t>
  </si>
  <si>
    <t>Residents At 6/30/05</t>
  </si>
  <si>
    <t>w/ Decimals</t>
  </si>
  <si>
    <t>Properly Rnd.</t>
  </si>
  <si>
    <t>Difference Put</t>
  </si>
  <si>
    <t>In Res. Mix Chg.</t>
  </si>
  <si>
    <t>Funding for One Year</t>
  </si>
  <si>
    <t>Biennium Funding</t>
  </si>
  <si>
    <t>FY 08-09</t>
  </si>
  <si>
    <t xml:space="preserve"> 6/30/02</t>
  </si>
  <si>
    <t xml:space="preserve"> 6/30/03</t>
  </si>
  <si>
    <t xml:space="preserve"> 6/30/04</t>
  </si>
  <si>
    <t>FY 10-11</t>
  </si>
  <si>
    <t>History</t>
  </si>
  <si>
    <t>Used for Funding Biennium</t>
  </si>
  <si>
    <t xml:space="preserve"> 9/1/07</t>
  </si>
  <si>
    <t xml:space="preserve"> 9/1/08</t>
  </si>
  <si>
    <t>Source</t>
  </si>
  <si>
    <t>Survey 10/05</t>
  </si>
  <si>
    <t>Survey 10/06</t>
  </si>
  <si>
    <t>Total Resident Count GME Funding</t>
  </si>
  <si>
    <t>% Change</t>
  </si>
  <si>
    <t>Recap by School and Level:</t>
  </si>
  <si>
    <t>Transferred to Summary Sheet</t>
  </si>
  <si>
    <t>Rounding</t>
  </si>
  <si>
    <t>Total Change</t>
  </si>
  <si>
    <t>Inflation</t>
  </si>
  <si>
    <t>Increase</t>
  </si>
  <si>
    <t>UT Southwestern Med. Center</t>
  </si>
  <si>
    <t>UTMB at Galveston</t>
  </si>
  <si>
    <t>UTHSC at Houston</t>
  </si>
  <si>
    <t>UTHSC at San Antonio</t>
  </si>
  <si>
    <t>UT M.D. Anderson Cancer</t>
  </si>
  <si>
    <t>UT Health Center at Tyler</t>
  </si>
  <si>
    <t>Texas A&amp;M UHSC</t>
  </si>
  <si>
    <t>Texas Tech Univ HSC</t>
  </si>
  <si>
    <t>Difference Use For</t>
  </si>
  <si>
    <t>To Change in Rate</t>
  </si>
  <si>
    <t>Change in Rate</t>
  </si>
  <si>
    <t>One Year</t>
  </si>
  <si>
    <t>Increase Due Rate Increase</t>
  </si>
  <si>
    <t>Increase Due</t>
  </si>
  <si>
    <t>To Res. Inc.</t>
  </si>
  <si>
    <t>FY 2010-11</t>
  </si>
  <si>
    <t>Funding</t>
  </si>
  <si>
    <t>Level</t>
  </si>
  <si>
    <t>FY 2008-09</t>
  </si>
  <si>
    <t>GME Total Funding</t>
  </si>
  <si>
    <t>N/A</t>
  </si>
  <si>
    <t>(2 Years)</t>
  </si>
  <si>
    <t>Copy from E9</t>
  </si>
  <si>
    <t>CBM 00R</t>
  </si>
  <si>
    <t>Survey</t>
  </si>
  <si>
    <t>Survey 10/04</t>
  </si>
  <si>
    <t>FY 2006-07 First Year</t>
  </si>
  <si>
    <t>Approp.</t>
  </si>
  <si>
    <t>Appropriation Rates Used</t>
  </si>
  <si>
    <t xml:space="preserve"> 9/1/09</t>
  </si>
  <si>
    <t>FY 12-13</t>
  </si>
  <si>
    <t>Used for Report</t>
  </si>
  <si>
    <t>2004 - 2015</t>
  </si>
  <si>
    <t>GME Salary Cost Updated for Inflation - CPI</t>
  </si>
  <si>
    <t>Used for Cost Study</t>
  </si>
  <si>
    <t xml:space="preserve">Total </t>
  </si>
  <si>
    <t>Increase Due To Inc.(Dec) in Residents</t>
  </si>
  <si>
    <t>Rnd. Adj.</t>
  </si>
  <si>
    <t>Old Rate</t>
  </si>
  <si>
    <t>Estimated</t>
  </si>
  <si>
    <t xml:space="preserve"> 9/1/10</t>
  </si>
  <si>
    <t>FY 2010-11 w/ Budget Reductions</t>
  </si>
  <si>
    <t>HB1 &amp; HB4</t>
  </si>
  <si>
    <t>FY 2014-15</t>
  </si>
  <si>
    <t>Linked</t>
  </si>
  <si>
    <t xml:space="preserve"> 9/1/11</t>
  </si>
  <si>
    <t>FY 10 Net of Reductions</t>
  </si>
  <si>
    <t>FY 11 Net of Reductions</t>
  </si>
  <si>
    <t>Net of Reductions</t>
  </si>
  <si>
    <t xml:space="preserve"> 9/1/12</t>
  </si>
  <si>
    <t>FY 14-15</t>
  </si>
  <si>
    <t>Auto Update</t>
  </si>
  <si>
    <t>FY 2012-13 HB 1 Only</t>
  </si>
  <si>
    <t>FY 2012-13 HB 1 &amp; HB 4</t>
  </si>
  <si>
    <t xml:space="preserve"> 9/1/13</t>
  </si>
  <si>
    <t>Texas Tech Univ HSC at El Paso</t>
  </si>
  <si>
    <t>TTUHSC</t>
  </si>
  <si>
    <t>TTUHSC El Paso</t>
  </si>
  <si>
    <t xml:space="preserve"> 9/1/14</t>
  </si>
  <si>
    <t>FY 16-17</t>
  </si>
  <si>
    <t>Growth Over Two Years</t>
  </si>
  <si>
    <t>FY 2016-17</t>
  </si>
  <si>
    <t>Change</t>
  </si>
  <si>
    <t>Public Hash Total</t>
  </si>
  <si>
    <t>Total Hash for Accountability Master</t>
  </si>
  <si>
    <t>Fiscal Year</t>
  </si>
  <si>
    <t>Detail to Accountability Master</t>
  </si>
  <si>
    <t>All Years Hash</t>
  </si>
  <si>
    <t>UT Southwestern Med.</t>
  </si>
  <si>
    <t>2014</t>
  </si>
  <si>
    <t>UT San Antonio HSC</t>
  </si>
  <si>
    <t>Texas A&amp;M HSC</t>
  </si>
  <si>
    <t>U. North Texas HSC</t>
  </si>
  <si>
    <t>Texas Tech HSC</t>
  </si>
  <si>
    <t>Texas Tech HSC at El Paso</t>
  </si>
  <si>
    <t>UT Houston Health Science Center</t>
  </si>
  <si>
    <t>UT M. D. Anderson</t>
  </si>
  <si>
    <t>UT Galveston Medical Branch</t>
  </si>
  <si>
    <t>Statewide Total</t>
  </si>
  <si>
    <t>El Paso is combined with Tech until FY 2016</t>
  </si>
  <si>
    <t>FICE</t>
  </si>
  <si>
    <t>Order</t>
  </si>
  <si>
    <t>FICE Hash</t>
  </si>
  <si>
    <t>Source for Accountability Data</t>
  </si>
  <si>
    <t>Copy and Paste Values for next year in HRI Accountability Master - HRI_PatientCare tab.</t>
  </si>
  <si>
    <t xml:space="preserve"> 9/1/15</t>
  </si>
  <si>
    <t>Residents At 9/1/14</t>
  </si>
  <si>
    <t>Separate El Paso for FY 2016 Accountability.</t>
  </si>
  <si>
    <t>UT Austin Medical School</t>
  </si>
  <si>
    <t>UT RGV Medical School</t>
  </si>
  <si>
    <t xml:space="preserve"> FY 2018</t>
  </si>
  <si>
    <t>FY 2018-19</t>
  </si>
  <si>
    <t>Total                      FY 2018-19</t>
  </si>
  <si>
    <t xml:space="preserve"> FY 2019</t>
  </si>
  <si>
    <t>FY 18-19</t>
  </si>
  <si>
    <t>Residents Projected</t>
  </si>
  <si>
    <t xml:space="preserve"> 9/1/16</t>
  </si>
  <si>
    <t>New Schools</t>
  </si>
  <si>
    <t>All Other HRIs</t>
  </si>
  <si>
    <t xml:space="preserve"> 9/1/17</t>
  </si>
  <si>
    <t>Univ North TX HSC</t>
  </si>
  <si>
    <t>Appropriations for FY 2018-19</t>
  </si>
  <si>
    <t xml:space="preserve">Graduate Medical Education </t>
  </si>
  <si>
    <t xml:space="preserve"> July 7, 2017</t>
  </si>
  <si>
    <t>FY 10-11, Net of Reductions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</si>
</sst>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m/d/yy;@"/>
    <numFmt numFmtId="166" formatCode="_(&quot;$&quot;* #,##0.00000000000_);_(&quot;$&quot;* \(#,##0.00000000000\);_(&quot;$&quot;* &quot;-&quot;???????????_);_(@_)"/>
    <numFmt numFmtId="167" formatCode="0.000000000%"/>
    <numFmt numFmtId="168" formatCode="_(* #,##0.000000_);_(* \(#,##0.000000\);_(* &quot;-&quot;??????_);_(@_)"/>
    <numFmt numFmtId="169" formatCode="_(* #,##0.00000_);_(* \(#,##0.00000\);_(* &quot;-&quot;?????_);_(@_)"/>
    <numFmt numFmtId="170" formatCode="0.0%"/>
    <numFmt numFmtId="171" formatCode="0.000"/>
    <numFmt numFmtId="172" formatCode="#,##0.00%_);\(#,##0.00%\)"/>
    <numFmt numFmtId="173" formatCode="0.000000"/>
    <numFmt numFmtId="174" formatCode="_(&quot;$&quot;* #,##0.0000000000_);_(&quot;$&quot;* \(#,##0.0000000000\);_(&quot;$&quot;* &quot;-&quot;????????????_);_(@_)"/>
    <numFmt numFmtId="175" formatCode="_(&quot;$&quot;* #,##0.0000000000_);_(&quot;$&quot;* \(#,##0.0000000000\);_(&quot;$&quot;* &quot;-&quot;??_);_(@_)"/>
    <numFmt numFmtId="176" formatCode="#,##0.0000000000_);\(#,##0.0000000000\)"/>
    <numFmt numFmtId="177" formatCode="000000"/>
    <numFmt numFmtId="178" formatCode="0.00000000%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rgb="FFF0F0FA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336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37" fontId="2" fillId="0" borderId="0"/>
    <xf numFmtId="0" fontId="1" fillId="0" borderId="0">
      <alignment horizontal="left" wrapText="1"/>
    </xf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20">
    <xf numFmtId="0" fontId="0" fillId="0" borderId="0" xfId="0"/>
    <xf numFmtId="37" fontId="2" fillId="0" borderId="0" xfId="1"/>
    <xf numFmtId="37" fontId="4" fillId="0" borderId="0" xfId="1" applyFont="1" applyAlignment="1" applyProtection="1">
      <alignment horizontal="center"/>
    </xf>
    <xf numFmtId="37" fontId="3" fillId="0" borderId="0" xfId="1" applyFont="1"/>
    <xf numFmtId="37" fontId="3" fillId="0" borderId="0" xfId="1" applyFont="1" applyAlignment="1">
      <alignment horizontal="center"/>
    </xf>
    <xf numFmtId="37" fontId="3" fillId="0" borderId="0" xfId="1" applyFont="1" applyAlignment="1" applyProtection="1">
      <alignment horizontal="center"/>
    </xf>
    <xf numFmtId="165" fontId="3" fillId="0" borderId="0" xfId="1" applyNumberFormat="1" applyFont="1" applyAlignment="1" applyProtection="1">
      <alignment horizontal="center"/>
    </xf>
    <xf numFmtId="37" fontId="2" fillId="0" borderId="0" xfId="1" applyFont="1"/>
    <xf numFmtId="37" fontId="2" fillId="0" borderId="0" xfId="1" applyFont="1" applyAlignment="1">
      <alignment horizontal="center"/>
    </xf>
    <xf numFmtId="37" fontId="2" fillId="0" borderId="0" xfId="1" applyFont="1" applyProtection="1"/>
    <xf numFmtId="37" fontId="2" fillId="0" borderId="0" xfId="1" applyNumberFormat="1" applyFont="1" applyAlignment="1" applyProtection="1">
      <alignment horizontal="right"/>
    </xf>
    <xf numFmtId="42" fontId="2" fillId="0" borderId="0" xfId="1" applyNumberFormat="1" applyFont="1"/>
    <xf numFmtId="37" fontId="2" fillId="0" borderId="0" xfId="1" applyFont="1" applyAlignment="1" applyProtection="1">
      <alignment horizontal="left"/>
    </xf>
    <xf numFmtId="37" fontId="2" fillId="0" borderId="3" xfId="1" applyNumberFormat="1" applyFont="1" applyBorder="1" applyAlignment="1" applyProtection="1">
      <alignment horizontal="right"/>
    </xf>
    <xf numFmtId="37" fontId="2" fillId="0" borderId="2" xfId="1" applyBorder="1"/>
    <xf numFmtId="37" fontId="2" fillId="0" borderId="5" xfId="1" applyBorder="1"/>
    <xf numFmtId="42" fontId="2" fillId="0" borderId="5" xfId="1" applyNumberFormat="1" applyBorder="1"/>
    <xf numFmtId="37" fontId="3" fillId="0" borderId="1" xfId="1" applyFont="1" applyBorder="1" applyAlignment="1" applyProtection="1">
      <alignment horizontal="center" vertical="center" wrapText="1"/>
    </xf>
    <xf numFmtId="37" fontId="3" fillId="0" borderId="0" xfId="1" applyFont="1" applyBorder="1"/>
    <xf numFmtId="37" fontId="2" fillId="0" borderId="0" xfId="1" applyBorder="1"/>
    <xf numFmtId="37" fontId="2" fillId="0" borderId="0" xfId="1" applyFont="1" applyBorder="1" applyProtection="1"/>
    <xf numFmtId="37" fontId="2" fillId="0" borderId="0" xfId="1" applyNumberFormat="1" applyFont="1" applyBorder="1" applyAlignment="1" applyProtection="1">
      <alignment horizontal="right"/>
    </xf>
    <xf numFmtId="42" fontId="2" fillId="0" borderId="0" xfId="1" applyNumberFormat="1" applyFont="1" applyFill="1" applyBorder="1" applyProtection="1"/>
    <xf numFmtId="37" fontId="2" fillId="0" borderId="0" xfId="1" applyFont="1" applyBorder="1"/>
    <xf numFmtId="37" fontId="2" fillId="0" borderId="0" xfId="1" applyFont="1" applyBorder="1" applyAlignment="1" applyProtection="1">
      <alignment horizontal="left"/>
    </xf>
    <xf numFmtId="42" fontId="2" fillId="0" borderId="0" xfId="1" applyNumberFormat="1" applyBorder="1"/>
    <xf numFmtId="42" fontId="12" fillId="0" borderId="11" xfId="1" applyNumberFormat="1" applyFont="1" applyBorder="1" applyProtection="1"/>
    <xf numFmtId="37" fontId="2" fillId="0" borderId="8" xfId="1" applyFont="1" applyBorder="1"/>
    <xf numFmtId="42" fontId="2" fillId="0" borderId="9" xfId="1" applyNumberFormat="1" applyBorder="1"/>
    <xf numFmtId="37" fontId="2" fillId="0" borderId="8" xfId="1" applyBorder="1"/>
    <xf numFmtId="37" fontId="2" fillId="0" borderId="9" xfId="1" applyBorder="1"/>
    <xf numFmtId="37" fontId="2" fillId="0" borderId="13" xfId="1" applyBorder="1"/>
    <xf numFmtId="37" fontId="2" fillId="0" borderId="12" xfId="1" applyBorder="1"/>
    <xf numFmtId="37" fontId="3" fillId="0" borderId="0" xfId="1" applyFont="1" applyBorder="1" applyAlignment="1">
      <alignment horizontal="center"/>
    </xf>
    <xf numFmtId="37" fontId="3" fillId="0" borderId="9" xfId="1" applyFont="1" applyBorder="1" applyAlignment="1">
      <alignment horizontal="center"/>
    </xf>
    <xf numFmtId="37" fontId="6" fillId="0" borderId="16" xfId="1" applyFont="1" applyBorder="1" applyProtection="1"/>
    <xf numFmtId="44" fontId="11" fillId="0" borderId="17" xfId="1" applyNumberFormat="1" applyFont="1" applyBorder="1" applyAlignment="1">
      <alignment horizontal="center"/>
    </xf>
    <xf numFmtId="37" fontId="2" fillId="0" borderId="14" xfId="1" applyBorder="1"/>
    <xf numFmtId="37" fontId="3" fillId="0" borderId="6" xfId="1" applyFont="1" applyBorder="1" applyAlignment="1">
      <alignment horizontal="center"/>
    </xf>
    <xf numFmtId="37" fontId="2" fillId="0" borderId="6" xfId="1" applyBorder="1"/>
    <xf numFmtId="37" fontId="2" fillId="0" borderId="7" xfId="1" applyBorder="1"/>
    <xf numFmtId="42" fontId="2" fillId="0" borderId="17" xfId="1" applyNumberFormat="1" applyBorder="1"/>
    <xf numFmtId="37" fontId="2" fillId="0" borderId="0" xfId="1" applyFont="1" applyBorder="1" applyAlignment="1">
      <alignment horizontal="right"/>
    </xf>
    <xf numFmtId="42" fontId="2" fillId="0" borderId="0" xfId="1" applyNumberFormat="1" applyBorder="1" applyAlignment="1">
      <alignment horizontal="left"/>
    </xf>
    <xf numFmtId="41" fontId="2" fillId="0" borderId="0" xfId="1" applyNumberFormat="1" applyBorder="1" applyAlignment="1">
      <alignment horizontal="left"/>
    </xf>
    <xf numFmtId="41" fontId="2" fillId="0" borderId="0" xfId="1" applyNumberFormat="1" applyFont="1" applyBorder="1"/>
    <xf numFmtId="37" fontId="3" fillId="0" borderId="7" xfId="1" applyFont="1" applyBorder="1" applyAlignment="1">
      <alignment horizontal="center"/>
    </xf>
    <xf numFmtId="37" fontId="2" fillId="0" borderId="8" xfId="1" applyNumberFormat="1" applyFont="1" applyBorder="1" applyAlignment="1" applyProtection="1">
      <alignment horizontal="right"/>
    </xf>
    <xf numFmtId="37" fontId="2" fillId="0" borderId="16" xfId="1" applyNumberFormat="1" applyFont="1" applyBorder="1" applyAlignment="1" applyProtection="1">
      <alignment horizontal="right"/>
    </xf>
    <xf numFmtId="37" fontId="2" fillId="0" borderId="16" xfId="1" applyBorder="1"/>
    <xf numFmtId="41" fontId="2" fillId="0" borderId="9" xfId="1" applyNumberFormat="1" applyBorder="1"/>
    <xf numFmtId="10" fontId="2" fillId="0" borderId="18" xfId="1" applyNumberFormat="1" applyBorder="1"/>
    <xf numFmtId="10" fontId="2" fillId="0" borderId="15" xfId="1" applyNumberFormat="1" applyBorder="1"/>
    <xf numFmtId="37" fontId="3" fillId="0" borderId="7" xfId="1" applyFont="1" applyBorder="1" applyAlignment="1">
      <alignment horizontal="center" wrapText="1"/>
    </xf>
    <xf numFmtId="37" fontId="3" fillId="0" borderId="14" xfId="1" applyFont="1" applyBorder="1"/>
    <xf numFmtId="37" fontId="3" fillId="0" borderId="18" xfId="1" applyFont="1" applyBorder="1" applyAlignment="1">
      <alignment horizontal="center"/>
    </xf>
    <xf numFmtId="37" fontId="3" fillId="0" borderId="8" xfId="1" applyFont="1" applyBorder="1" applyAlignment="1">
      <alignment horizontal="center"/>
    </xf>
    <xf numFmtId="37" fontId="3" fillId="0" borderId="13" xfId="1" applyFont="1" applyBorder="1" applyAlignment="1">
      <alignment horizontal="center"/>
    </xf>
    <xf numFmtId="37" fontId="3" fillId="0" borderId="12" xfId="1" applyFont="1" applyBorder="1" applyAlignment="1">
      <alignment horizontal="center"/>
    </xf>
    <xf numFmtId="37" fontId="3" fillId="0" borderId="19" xfId="1" applyFont="1" applyBorder="1" applyAlignment="1">
      <alignment horizontal="center"/>
    </xf>
    <xf numFmtId="37" fontId="3" fillId="0" borderId="20" xfId="1" applyFont="1" applyBorder="1" applyAlignment="1">
      <alignment horizontal="center"/>
    </xf>
    <xf numFmtId="42" fontId="2" fillId="0" borderId="8" xfId="1" applyNumberFormat="1" applyFont="1" applyFill="1" applyBorder="1" applyProtection="1"/>
    <xf numFmtId="42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9" xfId="1" applyNumberFormat="1" applyFont="1" applyFill="1" applyBorder="1" applyProtection="1"/>
    <xf numFmtId="42" fontId="12" fillId="0" borderId="21" xfId="1" applyNumberFormat="1" applyFont="1" applyBorder="1" applyProtection="1"/>
    <xf numFmtId="42" fontId="2" fillId="0" borderId="16" xfId="1" applyNumberFormat="1" applyBorder="1"/>
    <xf numFmtId="37" fontId="12" fillId="3" borderId="14" xfId="1" applyFont="1" applyFill="1" applyBorder="1" applyAlignment="1">
      <alignment horizontal="center"/>
    </xf>
    <xf numFmtId="37" fontId="12" fillId="3" borderId="7" xfId="1" applyFont="1" applyFill="1" applyBorder="1" applyAlignment="1">
      <alignment horizontal="center"/>
    </xf>
    <xf numFmtId="42" fontId="2" fillId="2" borderId="18" xfId="1" applyNumberFormat="1" applyFont="1" applyFill="1" applyBorder="1"/>
    <xf numFmtId="37" fontId="2" fillId="2" borderId="18" xfId="1" applyFont="1" applyFill="1" applyBorder="1"/>
    <xf numFmtId="42" fontId="12" fillId="2" borderId="23" xfId="1" applyNumberFormat="1" applyFont="1" applyFill="1" applyBorder="1" applyProtection="1"/>
    <xf numFmtId="42" fontId="2" fillId="2" borderId="19" xfId="1" applyNumberFormat="1" applyFont="1" applyFill="1" applyBorder="1"/>
    <xf numFmtId="42" fontId="2" fillId="2" borderId="15" xfId="1" applyNumberFormat="1" applyFill="1" applyBorder="1"/>
    <xf numFmtId="37" fontId="3" fillId="0" borderId="8" xfId="1" applyFont="1" applyBorder="1"/>
    <xf numFmtId="44" fontId="3" fillId="0" borderId="0" xfId="1" applyNumberFormat="1" applyFont="1" applyBorder="1" applyAlignment="1">
      <alignment horizontal="center"/>
    </xf>
    <xf numFmtId="37" fontId="2" fillId="0" borderId="3" xfId="1" applyFont="1" applyBorder="1" applyAlignment="1" applyProtection="1">
      <alignment horizontal="left"/>
    </xf>
    <xf numFmtId="37" fontId="2" fillId="0" borderId="5" xfId="1" applyFont="1" applyBorder="1"/>
    <xf numFmtId="44" fontId="11" fillId="0" borderId="16" xfId="1" applyNumberFormat="1" applyFont="1" applyBorder="1" applyAlignment="1">
      <alignment horizontal="center"/>
    </xf>
    <xf numFmtId="37" fontId="3" fillId="0" borderId="14" xfId="1" applyFont="1" applyBorder="1" applyAlignment="1">
      <alignment horizontal="center" wrapText="1"/>
    </xf>
    <xf numFmtId="42" fontId="2" fillId="0" borderId="0" xfId="1" applyNumberFormat="1"/>
    <xf numFmtId="37" fontId="3" fillId="4" borderId="0" xfId="1" applyFont="1" applyFill="1"/>
    <xf numFmtId="37" fontId="4" fillId="4" borderId="0" xfId="1" applyFont="1" applyFill="1" applyAlignment="1" applyProtection="1">
      <alignment horizontal="center"/>
    </xf>
    <xf numFmtId="165" fontId="9" fillId="4" borderId="0" xfId="1" applyNumberFormat="1" applyFont="1" applyFill="1" applyAlignment="1" applyProtection="1">
      <alignment horizontal="center"/>
    </xf>
    <xf numFmtId="37" fontId="14" fillId="0" borderId="0" xfId="1" applyFont="1"/>
    <xf numFmtId="42" fontId="2" fillId="5" borderId="0" xfId="0" applyNumberFormat="1" applyFont="1" applyFill="1"/>
    <xf numFmtId="41" fontId="2" fillId="5" borderId="0" xfId="0" applyNumberFormat="1" applyFont="1" applyFill="1"/>
    <xf numFmtId="42" fontId="2" fillId="5" borderId="4" xfId="0" applyNumberFormat="1" applyFont="1" applyFill="1" applyBorder="1" applyProtection="1"/>
    <xf numFmtId="0" fontId="2" fillId="0" borderId="0" xfId="0" applyFont="1"/>
    <xf numFmtId="42" fontId="2" fillId="5" borderId="3" xfId="0" applyNumberFormat="1" applyFont="1" applyFill="1" applyBorder="1"/>
    <xf numFmtId="42" fontId="2" fillId="5" borderId="0" xfId="0" applyNumberFormat="1" applyFont="1" applyFill="1" applyBorder="1"/>
    <xf numFmtId="42" fontId="2" fillId="5" borderId="6" xfId="0" applyNumberFormat="1" applyFont="1" applyFill="1" applyBorder="1"/>
    <xf numFmtId="37" fontId="2" fillId="0" borderId="25" xfId="1" applyFont="1" applyBorder="1" applyAlignment="1">
      <alignment horizontal="center"/>
    </xf>
    <xf numFmtId="37" fontId="2" fillId="0" borderId="25" xfId="1" applyFont="1" applyBorder="1"/>
    <xf numFmtId="168" fontId="2" fillId="0" borderId="0" xfId="1" applyNumberFormat="1" applyFont="1"/>
    <xf numFmtId="168" fontId="2" fillId="5" borderId="4" xfId="0" applyNumberFormat="1" applyFont="1" applyFill="1" applyBorder="1" applyProtection="1"/>
    <xf numFmtId="168" fontId="2" fillId="5" borderId="6" xfId="0" applyNumberFormat="1" applyFont="1" applyFill="1" applyBorder="1"/>
    <xf numFmtId="169" fontId="2" fillId="0" borderId="9" xfId="1" applyNumberFormat="1" applyBorder="1"/>
    <xf numFmtId="164" fontId="2" fillId="0" borderId="9" xfId="1" applyNumberFormat="1" applyBorder="1"/>
    <xf numFmtId="164" fontId="2" fillId="0" borderId="17" xfId="1" applyNumberFormat="1" applyBorder="1"/>
    <xf numFmtId="42" fontId="11" fillId="0" borderId="15" xfId="1" applyNumberFormat="1" applyFont="1" applyBorder="1" applyAlignment="1">
      <alignment horizontal="center"/>
    </xf>
    <xf numFmtId="37" fontId="3" fillId="0" borderId="0" xfId="1" applyFont="1" applyBorder="1" applyAlignment="1">
      <alignment horizontal="center" wrapText="1"/>
    </xf>
    <xf numFmtId="10" fontId="2" fillId="0" borderId="0" xfId="1" applyNumberFormat="1" applyBorder="1"/>
    <xf numFmtId="41" fontId="2" fillId="0" borderId="0" xfId="1" applyNumberFormat="1" applyBorder="1"/>
    <xf numFmtId="169" fontId="2" fillId="0" borderId="0" xfId="1" applyNumberFormat="1" applyBorder="1"/>
    <xf numFmtId="37" fontId="2" fillId="0" borderId="0" xfId="1" applyFill="1" applyBorder="1"/>
    <xf numFmtId="37" fontId="2" fillId="0" borderId="0" xfId="1" applyFont="1" applyFill="1" applyBorder="1"/>
    <xf numFmtId="37" fontId="2" fillId="0" borderId="0" xfId="1" applyFont="1" applyFill="1" applyBorder="1" applyAlignment="1">
      <alignment horizontal="center"/>
    </xf>
    <xf numFmtId="42" fontId="2" fillId="0" borderId="0" xfId="0" applyNumberFormat="1" applyFont="1" applyFill="1" applyBorder="1"/>
    <xf numFmtId="168" fontId="2" fillId="0" borderId="0" xfId="1" applyNumberFormat="1" applyFont="1" applyFill="1" applyBorder="1"/>
    <xf numFmtId="41" fontId="2" fillId="0" borderId="0" xfId="0" applyNumberFormat="1" applyFont="1" applyFill="1" applyBorder="1"/>
    <xf numFmtId="42" fontId="2" fillId="0" borderId="0" xfId="0" applyNumberFormat="1" applyFont="1" applyFill="1" applyBorder="1" applyProtection="1"/>
    <xf numFmtId="0" fontId="2" fillId="0" borderId="0" xfId="0" applyFont="1" applyFill="1" applyBorder="1"/>
    <xf numFmtId="168" fontId="2" fillId="0" borderId="0" xfId="0" applyNumberFormat="1" applyFont="1" applyFill="1" applyBorder="1"/>
    <xf numFmtId="167" fontId="2" fillId="0" borderId="0" xfId="1" applyNumberFormat="1" applyFill="1" applyBorder="1"/>
    <xf numFmtId="37" fontId="5" fillId="0" borderId="0" xfId="1" applyFont="1" applyFill="1" applyBorder="1" applyAlignment="1">
      <alignment horizontal="center"/>
    </xf>
    <xf numFmtId="37" fontId="3" fillId="0" borderId="0" xfId="1" applyFont="1" applyFill="1" applyBorder="1" applyAlignment="1">
      <alignment horizontal="center"/>
    </xf>
    <xf numFmtId="37" fontId="3" fillId="0" borderId="0" xfId="1" applyFont="1" applyFill="1" applyBorder="1" applyAlignment="1" applyProtection="1">
      <alignment horizontal="center" vertical="center" wrapText="1"/>
    </xf>
    <xf numFmtId="42" fontId="2" fillId="0" borderId="0" xfId="1" applyNumberFormat="1" applyFont="1" applyFill="1" applyBorder="1"/>
    <xf numFmtId="37" fontId="2" fillId="0" borderId="0" xfId="1" applyNumberFormat="1" applyFont="1" applyFill="1" applyBorder="1" applyAlignment="1" applyProtection="1">
      <alignment horizontal="right"/>
    </xf>
    <xf numFmtId="42" fontId="12" fillId="0" borderId="0" xfId="1" applyNumberFormat="1" applyFont="1" applyFill="1" applyBorder="1" applyProtection="1"/>
    <xf numFmtId="42" fontId="2" fillId="0" borderId="0" xfId="1" applyNumberFormat="1" applyFill="1" applyBorder="1"/>
    <xf numFmtId="37" fontId="12" fillId="3" borderId="20" xfId="1" applyFont="1" applyFill="1" applyBorder="1" applyAlignment="1">
      <alignment horizontal="center"/>
    </xf>
    <xf numFmtId="37" fontId="3" fillId="0" borderId="19" xfId="1" applyFont="1" applyBorder="1" applyAlignment="1" applyProtection="1">
      <alignment horizontal="center" vertical="center" wrapText="1"/>
    </xf>
    <xf numFmtId="37" fontId="3" fillId="0" borderId="0" xfId="1" applyFont="1" applyBorder="1" applyProtection="1"/>
    <xf numFmtId="41" fontId="12" fillId="3" borderId="20" xfId="1" applyNumberFormat="1" applyFont="1" applyFill="1" applyBorder="1" applyAlignment="1">
      <alignment horizontal="center"/>
    </xf>
    <xf numFmtId="41" fontId="2" fillId="0" borderId="0" xfId="1" applyNumberFormat="1" applyFont="1" applyBorder="1" applyAlignment="1" applyProtection="1">
      <alignment horizontal="right"/>
    </xf>
    <xf numFmtId="41" fontId="2" fillId="0" borderId="0" xfId="1" applyNumberFormat="1" applyFill="1" applyBorder="1"/>
    <xf numFmtId="41" fontId="2" fillId="0" borderId="0" xfId="1" applyNumberFormat="1" applyFont="1" applyFill="1" applyBorder="1"/>
    <xf numFmtId="41" fontId="2" fillId="0" borderId="18" xfId="1" applyNumberFormat="1" applyFont="1" applyFill="1" applyBorder="1" applyProtection="1"/>
    <xf numFmtId="41" fontId="2" fillId="0" borderId="9" xfId="1" applyNumberFormat="1" applyFont="1" applyBorder="1" applyAlignment="1" applyProtection="1">
      <alignment horizontal="right"/>
    </xf>
    <xf numFmtId="41" fontId="2" fillId="0" borderId="19" xfId="1" applyNumberFormat="1" applyFont="1" applyFill="1" applyBorder="1" applyProtection="1"/>
    <xf numFmtId="41" fontId="2" fillId="0" borderId="12" xfId="1" applyNumberFormat="1" applyFill="1" applyBorder="1"/>
    <xf numFmtId="42" fontId="2" fillId="0" borderId="20" xfId="1" applyNumberFormat="1" applyFont="1" applyFill="1" applyBorder="1" applyProtection="1"/>
    <xf numFmtId="42" fontId="2" fillId="0" borderId="7" xfId="1" applyNumberFormat="1" applyBorder="1"/>
    <xf numFmtId="42" fontId="2" fillId="0" borderId="0" xfId="1" applyNumberFormat="1" applyFont="1" applyFill="1" applyBorder="1" applyAlignment="1">
      <alignment horizontal="center"/>
    </xf>
    <xf numFmtId="42" fontId="2" fillId="0" borderId="5" xfId="1" applyNumberFormat="1" applyFont="1" applyFill="1" applyBorder="1"/>
    <xf numFmtId="41" fontId="12" fillId="3" borderId="0" xfId="1" applyNumberFormat="1" applyFont="1" applyFill="1" applyBorder="1" applyAlignment="1">
      <alignment horizontal="center"/>
    </xf>
    <xf numFmtId="42" fontId="2" fillId="0" borderId="20" xfId="1" applyNumberFormat="1" applyBorder="1"/>
    <xf numFmtId="41" fontId="2" fillId="0" borderId="18" xfId="1" applyNumberFormat="1" applyBorder="1"/>
    <xf numFmtId="41" fontId="2" fillId="0" borderId="18" xfId="1" applyNumberFormat="1" applyFont="1" applyBorder="1" applyAlignment="1" applyProtection="1">
      <alignment horizontal="right"/>
    </xf>
    <xf numFmtId="41" fontId="2" fillId="0" borderId="19" xfId="1" applyNumberFormat="1" applyFill="1" applyBorder="1"/>
    <xf numFmtId="37" fontId="3" fillId="0" borderId="0" xfId="1" applyFont="1" applyAlignment="1" applyProtection="1">
      <alignment horizontal="left"/>
    </xf>
    <xf numFmtId="37" fontId="3" fillId="0" borderId="5" xfId="1" applyFont="1" applyBorder="1"/>
    <xf numFmtId="37" fontId="3" fillId="0" borderId="0" xfId="1" applyFont="1" applyFill="1" applyBorder="1"/>
    <xf numFmtId="37" fontId="2" fillId="0" borderId="0" xfId="1" applyFont="1" applyFill="1" applyBorder="1" applyProtection="1"/>
    <xf numFmtId="37" fontId="2" fillId="0" borderId="0" xfId="1" applyFont="1" applyFill="1" applyBorder="1" applyAlignment="1" applyProtection="1">
      <alignment horizontal="left"/>
    </xf>
    <xf numFmtId="44" fontId="11" fillId="2" borderId="15" xfId="1" applyNumberFormat="1" applyFont="1" applyFill="1" applyBorder="1" applyAlignment="1">
      <alignment horizontal="center"/>
    </xf>
    <xf numFmtId="9" fontId="2" fillId="0" borderId="0" xfId="1" applyNumberFormat="1" applyFont="1" applyAlignment="1" applyProtection="1">
      <alignment horizontal="right"/>
    </xf>
    <xf numFmtId="0" fontId="3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37" fontId="11" fillId="6" borderId="15" xfId="0" applyNumberFormat="1" applyFont="1" applyFill="1" applyBorder="1" applyAlignment="1" applyProtection="1">
      <alignment horizontal="center" vertical="center" wrapText="1"/>
    </xf>
    <xf numFmtId="37" fontId="3" fillId="6" borderId="15" xfId="0" applyNumberFormat="1" applyFont="1" applyFill="1" applyBorder="1" applyAlignment="1" applyProtection="1">
      <alignment horizontal="center" vertical="center" wrapText="1"/>
    </xf>
    <xf numFmtId="37" fontId="11" fillId="6" borderId="2" xfId="0" applyNumberFormat="1" applyFont="1" applyFill="1" applyBorder="1" applyAlignment="1" applyProtection="1">
      <alignment horizontal="center" vertical="center" wrapText="1"/>
    </xf>
    <xf numFmtId="37" fontId="11" fillId="6" borderId="0" xfId="0" applyNumberFormat="1" applyFont="1" applyFill="1" applyBorder="1" applyAlignment="1" applyProtection="1">
      <alignment horizontal="center" vertical="center" wrapText="1"/>
    </xf>
    <xf numFmtId="42" fontId="11" fillId="0" borderId="0" xfId="0" applyNumberFormat="1" applyFont="1"/>
    <xf numFmtId="42" fontId="11" fillId="5" borderId="0" xfId="0" applyNumberFormat="1" applyFont="1" applyFill="1"/>
    <xf numFmtId="42" fontId="3" fillId="0" borderId="18" xfId="0" applyNumberFormat="1" applyFont="1" applyBorder="1"/>
    <xf numFmtId="42" fontId="11" fillId="0" borderId="18" xfId="0" applyNumberFormat="1" applyFont="1" applyBorder="1"/>
    <xf numFmtId="41" fontId="11" fillId="0" borderId="0" xfId="0" applyNumberFormat="1" applyFont="1"/>
    <xf numFmtId="41" fontId="11" fillId="5" borderId="0" xfId="0" applyNumberFormat="1" applyFont="1" applyFill="1"/>
    <xf numFmtId="41" fontId="3" fillId="0" borderId="18" xfId="0" applyNumberFormat="1" applyFont="1" applyBorder="1"/>
    <xf numFmtId="41" fontId="11" fillId="0" borderId="18" xfId="0" applyNumberFormat="1" applyFont="1" applyBorder="1"/>
    <xf numFmtId="42" fontId="11" fillId="4" borderId="4" xfId="0" applyNumberFormat="1" applyFont="1" applyFill="1" applyBorder="1" applyProtection="1"/>
    <xf numFmtId="42" fontId="3" fillId="4" borderId="26" xfId="0" applyNumberFormat="1" applyFont="1" applyFill="1" applyBorder="1" applyProtection="1"/>
    <xf numFmtId="42" fontId="11" fillId="4" borderId="26" xfId="0" applyNumberFormat="1" applyFont="1" applyFill="1" applyBorder="1" applyProtection="1"/>
    <xf numFmtId="0" fontId="11" fillId="4" borderId="0" xfId="0" applyFont="1" applyFill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/>
    <xf numFmtId="0" fontId="11" fillId="0" borderId="0" xfId="2" applyFont="1" applyFill="1" applyBorder="1">
      <alignment horizontal="left" wrapText="1"/>
    </xf>
    <xf numFmtId="42" fontId="11" fillId="0" borderId="0" xfId="0" applyNumberFormat="1" applyFont="1" applyFill="1" applyBorder="1"/>
    <xf numFmtId="41" fontId="11" fillId="0" borderId="0" xfId="0" applyNumberFormat="1" applyFont="1" applyFill="1" applyBorder="1"/>
    <xf numFmtId="0" fontId="11" fillId="0" borderId="0" xfId="0" applyFont="1" applyProtection="1"/>
    <xf numFmtId="42" fontId="11" fillId="0" borderId="0" xfId="0" applyNumberFormat="1" applyFont="1" applyFill="1" applyBorder="1" applyProtection="1"/>
    <xf numFmtId="0" fontId="11" fillId="0" borderId="0" xfId="0" applyFont="1" applyAlignment="1">
      <alignment horizontal="center"/>
    </xf>
    <xf numFmtId="0" fontId="3" fillId="0" borderId="0" xfId="0" applyFont="1" applyProtection="1"/>
    <xf numFmtId="42" fontId="11" fillId="5" borderId="8" xfId="0" applyNumberFormat="1" applyFont="1" applyFill="1" applyBorder="1"/>
    <xf numFmtId="42" fontId="11" fillId="5" borderId="9" xfId="0" applyNumberFormat="1" applyFont="1" applyFill="1" applyBorder="1"/>
    <xf numFmtId="43" fontId="11" fillId="0" borderId="0" xfId="0" applyNumberFormat="1" applyFont="1"/>
    <xf numFmtId="41" fontId="11" fillId="5" borderId="8" xfId="0" applyNumberFormat="1" applyFont="1" applyFill="1" applyBorder="1"/>
    <xf numFmtId="41" fontId="11" fillId="5" borderId="9" xfId="0" applyNumberFormat="1" applyFont="1" applyFill="1" applyBorder="1"/>
    <xf numFmtId="42" fontId="11" fillId="5" borderId="27" xfId="0" applyNumberFormat="1" applyFont="1" applyFill="1" applyBorder="1" applyProtection="1"/>
    <xf numFmtId="42" fontId="11" fillId="5" borderId="28" xfId="0" applyNumberFormat="1" applyFont="1" applyFill="1" applyBorder="1" applyProtection="1"/>
    <xf numFmtId="41" fontId="11" fillId="0" borderId="0" xfId="0" applyNumberFormat="1" applyFont="1" applyBorder="1"/>
    <xf numFmtId="37" fontId="11" fillId="0" borderId="0" xfId="1" applyFont="1"/>
    <xf numFmtId="37" fontId="11" fillId="0" borderId="0" xfId="1" applyFont="1" applyBorder="1"/>
    <xf numFmtId="42" fontId="11" fillId="0" borderId="0" xfId="1" applyNumberFormat="1" applyFont="1" applyBorder="1"/>
    <xf numFmtId="170" fontId="11" fillId="0" borderId="0" xfId="0" applyNumberFormat="1" applyFont="1"/>
    <xf numFmtId="42" fontId="11" fillId="5" borderId="0" xfId="0" applyNumberFormat="1" applyFont="1" applyFill="1" applyBorder="1" applyProtection="1"/>
    <xf numFmtId="3" fontId="11" fillId="5" borderId="0" xfId="0" applyNumberFormat="1" applyFont="1" applyFill="1"/>
    <xf numFmtId="3" fontId="11" fillId="5" borderId="0" xfId="0" applyNumberFormat="1" applyFont="1" applyFill="1" applyBorder="1"/>
    <xf numFmtId="3" fontId="11" fillId="5" borderId="3" xfId="0" applyNumberFormat="1" applyFont="1" applyFill="1" applyBorder="1" applyProtection="1"/>
    <xf numFmtId="42" fontId="11" fillId="5" borderId="3" xfId="0" applyNumberFormat="1" applyFont="1" applyFill="1" applyBorder="1" applyProtection="1"/>
    <xf numFmtId="37" fontId="2" fillId="0" borderId="24" xfId="1" applyBorder="1"/>
    <xf numFmtId="3" fontId="11" fillId="5" borderId="29" xfId="0" applyNumberFormat="1" applyFont="1" applyFill="1" applyBorder="1" applyProtection="1"/>
    <xf numFmtId="42" fontId="11" fillId="5" borderId="29" xfId="0" applyNumberFormat="1" applyFont="1" applyFill="1" applyBorder="1" applyProtection="1"/>
    <xf numFmtId="0" fontId="11" fillId="0" borderId="5" xfId="0" applyFont="1" applyBorder="1"/>
    <xf numFmtId="42" fontId="11" fillId="0" borderId="5" xfId="0" applyNumberFormat="1" applyFont="1" applyBorder="1"/>
    <xf numFmtId="42" fontId="11" fillId="5" borderId="24" xfId="0" applyNumberFormat="1" applyFont="1" applyFill="1" applyBorder="1" applyProtection="1"/>
    <xf numFmtId="42" fontId="3" fillId="4" borderId="4" xfId="0" applyNumberFormat="1" applyFont="1" applyFill="1" applyBorder="1" applyProtection="1"/>
    <xf numFmtId="42" fontId="2" fillId="0" borderId="0" xfId="1" applyNumberFormat="1" applyFont="1" applyBorder="1" applyAlignment="1">
      <alignment horizontal="center"/>
    </xf>
    <xf numFmtId="9" fontId="2" fillId="0" borderId="0" xfId="1" applyNumberFormat="1" applyFont="1" applyFill="1" applyBorder="1"/>
    <xf numFmtId="10" fontId="11" fillId="5" borderId="0" xfId="0" applyNumberFormat="1" applyFont="1" applyFill="1" applyBorder="1" applyProtection="1"/>
    <xf numFmtId="42" fontId="3" fillId="4" borderId="0" xfId="0" applyNumberFormat="1" applyFont="1" applyFill="1" applyBorder="1" applyProtection="1"/>
    <xf numFmtId="42" fontId="11" fillId="4" borderId="0" xfId="0" applyNumberFormat="1" applyFont="1" applyFill="1" applyBorder="1" applyProtection="1"/>
    <xf numFmtId="42" fontId="2" fillId="5" borderId="0" xfId="0" applyNumberFormat="1" applyFont="1" applyFill="1" applyBorder="1" applyAlignment="1" applyProtection="1">
      <alignment horizontal="center"/>
    </xf>
    <xf numFmtId="42" fontId="11" fillId="2" borderId="20" xfId="1" applyNumberFormat="1" applyFont="1" applyFill="1" applyBorder="1" applyAlignment="1">
      <alignment horizontal="center"/>
    </xf>
    <xf numFmtId="37" fontId="3" fillId="0" borderId="15" xfId="1" applyFont="1" applyBorder="1"/>
    <xf numFmtId="37" fontId="3" fillId="0" borderId="15" xfId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1" fillId="2" borderId="19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2" fontId="11" fillId="7" borderId="0" xfId="0" applyNumberFormat="1" applyFont="1" applyFill="1" applyBorder="1" applyProtection="1"/>
    <xf numFmtId="37" fontId="2" fillId="6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1" applyAlignment="1">
      <alignment horizontal="center"/>
    </xf>
    <xf numFmtId="37" fontId="12" fillId="2" borderId="19" xfId="1" applyFont="1" applyFill="1" applyBorder="1" applyAlignment="1" applyProtection="1">
      <alignment horizontal="center" vertical="center" wrapText="1"/>
    </xf>
    <xf numFmtId="37" fontId="3" fillId="0" borderId="2" xfId="1" applyFont="1" applyBorder="1" applyAlignment="1" applyProtection="1">
      <alignment horizontal="center" vertical="center" wrapText="1"/>
    </xf>
    <xf numFmtId="37" fontId="3" fillId="2" borderId="20" xfId="1" applyFont="1" applyFill="1" applyBorder="1" applyAlignment="1">
      <alignment horizontal="center"/>
    </xf>
    <xf numFmtId="42" fontId="2" fillId="0" borderId="15" xfId="1" applyNumberFormat="1" applyFont="1" applyBorder="1" applyAlignment="1">
      <alignment horizontal="center"/>
    </xf>
    <xf numFmtId="42" fontId="2" fillId="2" borderId="20" xfId="1" applyNumberFormat="1" applyFont="1" applyFill="1" applyBorder="1" applyAlignment="1">
      <alignment horizontal="center"/>
    </xf>
    <xf numFmtId="37" fontId="3" fillId="3" borderId="22" xfId="1" applyFont="1" applyFill="1" applyBorder="1" applyAlignment="1" applyProtection="1">
      <alignment horizontal="center" vertical="center" wrapText="1"/>
    </xf>
    <xf numFmtId="37" fontId="3" fillId="3" borderId="10" xfId="1" applyFont="1" applyFill="1" applyBorder="1" applyAlignment="1" applyProtection="1">
      <alignment horizontal="center" vertical="center" wrapText="1"/>
    </xf>
    <xf numFmtId="37" fontId="2" fillId="0" borderId="20" xfId="1" applyFont="1" applyFill="1" applyBorder="1"/>
    <xf numFmtId="9" fontId="2" fillId="0" borderId="18" xfId="1" applyNumberFormat="1" applyFont="1" applyFill="1" applyBorder="1"/>
    <xf numFmtId="37" fontId="2" fillId="0" borderId="18" xfId="1" applyFont="1" applyFill="1" applyBorder="1"/>
    <xf numFmtId="168" fontId="2" fillId="0" borderId="19" xfId="1" applyNumberFormat="1" applyFont="1" applyFill="1" applyBorder="1"/>
    <xf numFmtId="168" fontId="2" fillId="0" borderId="18" xfId="1" applyNumberFormat="1" applyFont="1" applyFill="1" applyBorder="1"/>
    <xf numFmtId="37" fontId="2" fillId="0" borderId="20" xfId="1" applyFill="1" applyBorder="1" applyAlignment="1">
      <alignment horizontal="center" wrapText="1"/>
    </xf>
    <xf numFmtId="37" fontId="2" fillId="0" borderId="18" xfId="1" applyFill="1" applyBorder="1" applyAlignment="1">
      <alignment horizontal="center"/>
    </xf>
    <xf numFmtId="171" fontId="2" fillId="0" borderId="18" xfId="0" applyNumberFormat="1" applyFont="1" applyBorder="1"/>
    <xf numFmtId="44" fontId="2" fillId="0" borderId="18" xfId="0" applyNumberFormat="1" applyFont="1" applyBorder="1"/>
    <xf numFmtId="37" fontId="2" fillId="0" borderId="19" xfId="1" applyBorder="1" applyAlignment="1">
      <alignment horizontal="center" wrapText="1"/>
    </xf>
    <xf numFmtId="172" fontId="2" fillId="4" borderId="0" xfId="0" applyNumberFormat="1" applyFont="1" applyFill="1" applyAlignment="1"/>
    <xf numFmtId="172" fontId="3" fillId="4" borderId="0" xfId="0" applyNumberFormat="1" applyFont="1" applyFill="1" applyAlignment="1"/>
    <xf numFmtId="172" fontId="2" fillId="4" borderId="3" xfId="0" applyNumberFormat="1" applyFont="1" applyFill="1" applyBorder="1" applyAlignment="1"/>
    <xf numFmtId="172" fontId="2" fillId="4" borderId="24" xfId="0" applyNumberFormat="1" applyFont="1" applyFill="1" applyBorder="1" applyAlignment="1"/>
    <xf numFmtId="37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37" fontId="2" fillId="4" borderId="0" xfId="1" applyFont="1" applyFill="1" applyAlignment="1" applyProtection="1">
      <alignment horizontal="center"/>
    </xf>
    <xf numFmtId="166" fontId="11" fillId="0" borderId="0" xfId="1" applyNumberFormat="1" applyFont="1" applyBorder="1" applyAlignment="1">
      <alignment horizontal="center"/>
    </xf>
    <xf numFmtId="37" fontId="2" fillId="0" borderId="0" xfId="1" applyBorder="1" applyAlignment="1"/>
    <xf numFmtId="37" fontId="3" fillId="3" borderId="20" xfId="1" applyFont="1" applyFill="1" applyBorder="1" applyAlignment="1">
      <alignment horizontal="center"/>
    </xf>
    <xf numFmtId="37" fontId="2" fillId="0" borderId="0" xfId="1" applyBorder="1" applyAlignment="1">
      <alignment horizontal="center"/>
    </xf>
    <xf numFmtId="42" fontId="2" fillId="0" borderId="18" xfId="0" applyNumberFormat="1" applyFont="1" applyBorder="1"/>
    <xf numFmtId="41" fontId="2" fillId="0" borderId="18" xfId="0" applyNumberFormat="1" applyFont="1" applyBorder="1"/>
    <xf numFmtId="37" fontId="5" fillId="0" borderId="0" xfId="1" applyFont="1" applyAlignment="1">
      <alignment horizontal="center" wrapText="1"/>
    </xf>
    <xf numFmtId="173" fontId="11" fillId="0" borderId="0" xfId="0" applyNumberFormat="1" applyFont="1"/>
    <xf numFmtId="44" fontId="11" fillId="0" borderId="0" xfId="0" applyNumberFormat="1" applyFont="1"/>
    <xf numFmtId="173" fontId="11" fillId="0" borderId="0" xfId="0" applyNumberFormat="1" applyFont="1" applyFill="1" applyBorder="1"/>
    <xf numFmtId="174" fontId="2" fillId="2" borderId="15" xfId="0" applyNumberFormat="1" applyFont="1" applyFill="1" applyBorder="1"/>
    <xf numFmtId="39" fontId="2" fillId="0" borderId="0" xfId="1" applyNumberFormat="1"/>
    <xf numFmtId="41" fontId="3" fillId="3" borderId="20" xfId="1" applyNumberFormat="1" applyFont="1" applyFill="1" applyBorder="1" applyAlignment="1">
      <alignment horizontal="center" wrapText="1"/>
    </xf>
    <xf numFmtId="37" fontId="3" fillId="3" borderId="7" xfId="1" applyFont="1" applyFill="1" applyBorder="1" applyAlignment="1">
      <alignment horizontal="center"/>
    </xf>
    <xf numFmtId="41" fontId="3" fillId="3" borderId="30" xfId="1" applyNumberFormat="1" applyFont="1" applyFill="1" applyBorder="1" applyAlignment="1">
      <alignment horizontal="center" wrapText="1"/>
    </xf>
    <xf numFmtId="41" fontId="3" fillId="3" borderId="31" xfId="1" applyNumberFormat="1" applyFont="1" applyFill="1" applyBorder="1" applyAlignment="1">
      <alignment horizontal="center" wrapText="1"/>
    </xf>
    <xf numFmtId="42" fontId="2" fillId="0" borderId="32" xfId="1" applyNumberFormat="1" applyBorder="1"/>
    <xf numFmtId="42" fontId="2" fillId="0" borderId="33" xfId="1" applyNumberFormat="1" applyBorder="1"/>
    <xf numFmtId="41" fontId="2" fillId="0" borderId="34" xfId="1" applyNumberFormat="1" applyBorder="1"/>
    <xf numFmtId="41" fontId="2" fillId="0" borderId="35" xfId="1" applyNumberFormat="1" applyBorder="1"/>
    <xf numFmtId="41" fontId="2" fillId="0" borderId="34" xfId="1" applyNumberFormat="1" applyFont="1" applyBorder="1" applyAlignment="1" applyProtection="1">
      <alignment horizontal="right"/>
    </xf>
    <xf numFmtId="41" fontId="2" fillId="0" borderId="35" xfId="1" applyNumberFormat="1" applyFont="1" applyBorder="1" applyAlignment="1" applyProtection="1">
      <alignment horizontal="right"/>
    </xf>
    <xf numFmtId="41" fontId="2" fillId="0" borderId="36" xfId="1" applyNumberFormat="1" applyFill="1" applyBorder="1"/>
    <xf numFmtId="41" fontId="2" fillId="0" borderId="37" xfId="1" applyNumberFormat="1" applyFill="1" applyBorder="1"/>
    <xf numFmtId="42" fontId="2" fillId="0" borderId="38" xfId="1" applyNumberFormat="1" applyFont="1" applyFill="1" applyBorder="1" applyAlignment="1">
      <alignment horizontal="center"/>
    </xf>
    <xf numFmtId="42" fontId="2" fillId="0" borderId="38" xfId="1" applyNumberFormat="1" applyFont="1" applyFill="1" applyBorder="1"/>
    <xf numFmtId="42" fontId="2" fillId="0" borderId="39" xfId="1" applyNumberFormat="1" applyFont="1" applyFill="1" applyBorder="1"/>
    <xf numFmtId="42" fontId="2" fillId="0" borderId="40" xfId="1" applyNumberFormat="1" applyFont="1" applyFill="1" applyBorder="1"/>
    <xf numFmtId="42" fontId="2" fillId="0" borderId="41" xfId="1" applyNumberFormat="1" applyFont="1" applyFill="1" applyBorder="1"/>
    <xf numFmtId="37" fontId="2" fillId="0" borderId="0" xfId="1" applyNumberFormat="1" applyFont="1" applyFill="1" applyAlignment="1" applyProtection="1">
      <alignment horizontal="right"/>
    </xf>
    <xf numFmtId="37" fontId="2" fillId="0" borderId="0" xfId="1" applyFont="1" applyAlignment="1" applyProtection="1">
      <alignment horizontal="center"/>
    </xf>
    <xf numFmtId="175" fontId="11" fillId="2" borderId="15" xfId="1" applyNumberFormat="1" applyFont="1" applyFill="1" applyBorder="1" applyAlignment="1">
      <alignment horizontal="center"/>
    </xf>
    <xf numFmtId="42" fontId="2" fillId="0" borderId="42" xfId="1" applyNumberFormat="1" applyFont="1" applyFill="1" applyBorder="1" applyAlignment="1">
      <alignment horizontal="center"/>
    </xf>
    <xf numFmtId="172" fontId="2" fillId="4" borderId="0" xfId="0" applyNumberFormat="1" applyFont="1" applyFill="1" applyBorder="1" applyAlignment="1"/>
    <xf numFmtId="41" fontId="11" fillId="5" borderId="0" xfId="0" applyNumberFormat="1" applyFont="1" applyFill="1" applyBorder="1"/>
    <xf numFmtId="0" fontId="2" fillId="0" borderId="0" xfId="2" applyFont="1" applyFill="1" applyBorder="1">
      <alignment horizontal="left" wrapText="1"/>
    </xf>
    <xf numFmtId="37" fontId="3" fillId="3" borderId="0" xfId="1" applyFont="1" applyFill="1" applyBorder="1" applyAlignment="1">
      <alignment horizontal="center"/>
    </xf>
    <xf numFmtId="37" fontId="2" fillId="0" borderId="0" xfId="1" applyFont="1" applyAlignment="1"/>
    <xf numFmtId="37" fontId="2" fillId="0" borderId="0" xfId="1" applyFont="1" applyBorder="1" applyAlignment="1"/>
    <xf numFmtId="37" fontId="2" fillId="0" borderId="2" xfId="1" applyNumberFormat="1" applyFont="1" applyBorder="1" applyAlignment="1" applyProtection="1">
      <alignment horizontal="right"/>
    </xf>
    <xf numFmtId="10" fontId="6" fillId="0" borderId="16" xfId="3" applyNumberFormat="1" applyFont="1" applyBorder="1" applyAlignment="1" applyProtection="1">
      <alignment horizontal="center"/>
    </xf>
    <xf numFmtId="10" fontId="11" fillId="4" borderId="0" xfId="3" applyNumberFormat="1" applyFont="1" applyFill="1" applyBorder="1" applyProtection="1"/>
    <xf numFmtId="176" fontId="2" fillId="0" borderId="0" xfId="1" applyNumberFormat="1"/>
    <xf numFmtId="0" fontId="1" fillId="0" borderId="0" xfId="5" applyAlignment="1">
      <alignment horizontal="center"/>
    </xf>
    <xf numFmtId="38" fontId="1" fillId="4" borderId="0" xfId="5" applyNumberFormat="1" applyFont="1" applyFill="1"/>
    <xf numFmtId="49" fontId="1" fillId="0" borderId="0" xfId="5" applyNumberFormat="1" applyAlignment="1">
      <alignment horizontal="center"/>
    </xf>
    <xf numFmtId="177" fontId="1" fillId="4" borderId="0" xfId="5" applyNumberFormat="1" applyFont="1" applyFill="1" applyAlignment="1">
      <alignment horizontal="center"/>
    </xf>
    <xf numFmtId="38" fontId="1" fillId="4" borderId="2" xfId="5" applyNumberFormat="1" applyFont="1" applyFill="1" applyBorder="1"/>
    <xf numFmtId="0" fontId="1" fillId="0" borderId="5" xfId="5" applyBorder="1" applyAlignment="1">
      <alignment horizontal="center"/>
    </xf>
    <xf numFmtId="0" fontId="13" fillId="0" borderId="5" xfId="5" applyFont="1" applyBorder="1"/>
    <xf numFmtId="0" fontId="1" fillId="0" borderId="5" xfId="5" applyFont="1" applyBorder="1" applyAlignment="1">
      <alignment horizontal="center"/>
    </xf>
    <xf numFmtId="177" fontId="1" fillId="0" borderId="5" xfId="5" applyNumberFormat="1" applyBorder="1" applyAlignment="1">
      <alignment horizontal="center"/>
    </xf>
    <xf numFmtId="38" fontId="1" fillId="4" borderId="0" xfId="5" applyNumberFormat="1" applyFont="1" applyFill="1" applyBorder="1"/>
    <xf numFmtId="177" fontId="2" fillId="4" borderId="0" xfId="5" applyNumberFormat="1" applyFont="1" applyFill="1" applyAlignment="1">
      <alignment horizontal="center"/>
    </xf>
    <xf numFmtId="0" fontId="11" fillId="0" borderId="0" xfId="0" applyFont="1" applyFill="1"/>
    <xf numFmtId="44" fontId="11" fillId="0" borderId="0" xfId="1" applyNumberFormat="1" applyFont="1" applyFill="1" applyBorder="1" applyAlignment="1">
      <alignment horizontal="center"/>
    </xf>
    <xf numFmtId="170" fontId="11" fillId="0" borderId="0" xfId="0" applyNumberFormat="1" applyFont="1" applyFill="1"/>
    <xf numFmtId="42" fontId="2" fillId="0" borderId="4" xfId="1" applyNumberFormat="1" applyFont="1" applyBorder="1" applyProtection="1"/>
    <xf numFmtId="178" fontId="2" fillId="0" borderId="0" xfId="3" applyNumberFormat="1" applyFont="1" applyBorder="1"/>
    <xf numFmtId="177" fontId="2" fillId="4" borderId="0" xfId="5" applyNumberFormat="1" applyFont="1" applyFill="1" applyBorder="1" applyAlignment="1">
      <alignment horizontal="center"/>
    </xf>
    <xf numFmtId="37" fontId="2" fillId="0" borderId="0" xfId="1" applyFont="1" applyBorder="1" applyAlignment="1" applyProtection="1">
      <alignment horizontal="center"/>
    </xf>
    <xf numFmtId="37" fontId="3" fillId="0" borderId="20" xfId="1" applyFont="1" applyBorder="1" applyAlignment="1">
      <alignment horizontal="center" wrapText="1"/>
    </xf>
    <xf numFmtId="166" fontId="11" fillId="0" borderId="16" xfId="1" applyNumberFormat="1" applyFont="1" applyBorder="1" applyAlignment="1">
      <alignment horizontal="center"/>
    </xf>
    <xf numFmtId="37" fontId="2" fillId="0" borderId="17" xfId="1" applyBorder="1" applyAlignment="1"/>
    <xf numFmtId="37" fontId="3" fillId="0" borderId="20" xfId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11" fillId="0" borderId="16" xfId="1" applyNumberFormat="1" applyFont="1" applyBorder="1" applyAlignment="1">
      <alignment horizontal="center"/>
    </xf>
    <xf numFmtId="37" fontId="2" fillId="0" borderId="17" xfId="1" applyBorder="1" applyAlignment="1"/>
    <xf numFmtId="0" fontId="0" fillId="0" borderId="17" xfId="0" applyBorder="1" applyAlignment="1"/>
  </cellXfs>
  <cellStyles count="6">
    <cellStyle name="Normal" xfId="0" builtinId="0"/>
    <cellStyle name="Normal 2" xfId="5"/>
    <cellStyle name="Normal 4 2" xfId="4"/>
    <cellStyle name="Normal_Infrastructure BY 04-05 Spring to LBB w final rates" xfId="1"/>
    <cellStyle name="Percent" xfId="3" builtinId="5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Q212"/>
  <sheetViews>
    <sheetView showGridLines="0" tabSelected="1" zoomScale="75" zoomScaleNormal="75" workbookViewId="0">
      <selection activeCell="D4" sqref="D4"/>
    </sheetView>
  </sheetViews>
  <sheetFormatPr defaultColWidth="12.42578125" defaultRowHeight="15" x14ac:dyDescent="0.2"/>
  <cols>
    <col min="1" max="1" width="37.7109375" style="1" customWidth="1"/>
    <col min="2" max="2" width="19.140625" style="1" customWidth="1"/>
    <col min="3" max="4" width="18" style="1" customWidth="1"/>
    <col min="5" max="6" width="16.85546875" style="1" customWidth="1"/>
    <col min="7" max="7" width="19.7109375" style="1" customWidth="1"/>
    <col min="8" max="8" width="18.5703125" style="1" customWidth="1"/>
    <col min="9" max="9" width="25" style="1" customWidth="1"/>
    <col min="10" max="10" width="21.5703125" style="1" customWidth="1"/>
    <col min="11" max="12" width="12.42578125" style="1"/>
    <col min="13" max="13" width="18.5703125" style="1" customWidth="1"/>
    <col min="14" max="14" width="22.7109375" style="1" customWidth="1"/>
    <col min="15" max="16384" width="12.42578125" style="1"/>
  </cols>
  <sheetData>
    <row r="1" spans="1:9" ht="15.75" x14ac:dyDescent="0.25">
      <c r="D1" s="4" t="s">
        <v>10</v>
      </c>
    </row>
    <row r="2" spans="1:9" ht="15.75" x14ac:dyDescent="0.25">
      <c r="A2" s="3"/>
      <c r="D2" s="4" t="s">
        <v>170</v>
      </c>
      <c r="I2" s="259"/>
    </row>
    <row r="3" spans="1:9" ht="16.5" customHeight="1" x14ac:dyDescent="0.3">
      <c r="A3" s="7"/>
      <c r="B3" s="2"/>
      <c r="C3" s="2"/>
      <c r="D3" s="5" t="s">
        <v>169</v>
      </c>
      <c r="E3" s="2"/>
      <c r="F3" s="2"/>
      <c r="G3" s="2"/>
      <c r="H3" s="2"/>
    </row>
    <row r="4" spans="1:9" ht="18.75" customHeight="1" x14ac:dyDescent="0.3">
      <c r="A4" s="7"/>
      <c r="B4" s="2"/>
      <c r="C4" s="2"/>
      <c r="D4" s="6" t="s">
        <v>171</v>
      </c>
      <c r="E4" s="2"/>
      <c r="F4" s="2"/>
      <c r="G4" s="2"/>
      <c r="H4" s="2"/>
      <c r="I4" s="259"/>
    </row>
    <row r="5" spans="1:9" ht="15" customHeight="1" x14ac:dyDescent="0.3">
      <c r="A5" s="81"/>
      <c r="B5" s="247"/>
      <c r="C5" s="82"/>
      <c r="D5" s="83"/>
      <c r="E5" s="278"/>
      <c r="F5" s="2"/>
      <c r="I5" s="259"/>
    </row>
    <row r="6" spans="1:9" ht="18" x14ac:dyDescent="0.25">
      <c r="A6" s="35"/>
      <c r="B6" s="288"/>
      <c r="C6" s="78">
        <f>E6/2</f>
        <v>5823.6393590903217</v>
      </c>
      <c r="D6" s="36">
        <f>E6/2</f>
        <v>5823.6393590903217</v>
      </c>
      <c r="E6" s="147">
        <v>11647.278718180643</v>
      </c>
      <c r="F6" s="254"/>
    </row>
    <row r="7" spans="1:9" ht="15.75" x14ac:dyDescent="0.25">
      <c r="A7" s="4"/>
      <c r="B7" s="60" t="s">
        <v>15</v>
      </c>
      <c r="C7" s="67" t="s">
        <v>9</v>
      </c>
      <c r="D7" s="68" t="s">
        <v>9</v>
      </c>
      <c r="E7" s="224" t="s">
        <v>159</v>
      </c>
      <c r="F7" s="38" t="s">
        <v>129</v>
      </c>
      <c r="G7" s="312" t="s">
        <v>130</v>
      </c>
      <c r="H7" s="40"/>
      <c r="I7" s="290"/>
    </row>
    <row r="8" spans="1:9" ht="15.75" x14ac:dyDescent="0.25">
      <c r="A8" s="17" t="s">
        <v>35</v>
      </c>
      <c r="B8" s="123" t="s">
        <v>164</v>
      </c>
      <c r="C8" s="227" t="s">
        <v>158</v>
      </c>
      <c r="D8" s="228" t="s">
        <v>161</v>
      </c>
      <c r="E8" s="222" t="s">
        <v>17</v>
      </c>
      <c r="F8" s="223"/>
      <c r="G8" s="313"/>
      <c r="H8" s="58" t="s">
        <v>61</v>
      </c>
    </row>
    <row r="9" spans="1:9" x14ac:dyDescent="0.2">
      <c r="A9" s="9" t="s">
        <v>0</v>
      </c>
      <c r="B9" s="10">
        <v>1301</v>
      </c>
      <c r="C9" s="61">
        <f t="shared" ref="C9:D20" si="0">ROUND(($B9*C$6),0)</f>
        <v>7576555</v>
      </c>
      <c r="D9" s="62">
        <f t="shared" si="0"/>
        <v>7576555</v>
      </c>
      <c r="E9" s="69">
        <f t="shared" ref="E9:E17" si="1">ROUND((D9+C9),0)</f>
        <v>15153110</v>
      </c>
      <c r="F9" s="252">
        <v>20751442</v>
      </c>
      <c r="G9" s="11">
        <f>E9-F9</f>
        <v>-5598332</v>
      </c>
      <c r="H9" s="239">
        <f t="shared" ref="H9:H23" si="2">G9/F9</f>
        <v>-0.26978038441858643</v>
      </c>
      <c r="I9" s="10"/>
    </row>
    <row r="10" spans="1:9" x14ac:dyDescent="0.2">
      <c r="A10" s="9" t="s">
        <v>1</v>
      </c>
      <c r="B10" s="10">
        <v>571</v>
      </c>
      <c r="C10" s="63">
        <f t="shared" si="0"/>
        <v>3325298</v>
      </c>
      <c r="D10" s="64">
        <f t="shared" si="0"/>
        <v>3325298</v>
      </c>
      <c r="E10" s="70">
        <f t="shared" si="1"/>
        <v>6650596</v>
      </c>
      <c r="F10" s="253">
        <v>6867024</v>
      </c>
      <c r="G10" s="1">
        <f t="shared" ref="G10:G20" si="3">E10-F10</f>
        <v>-216428</v>
      </c>
      <c r="H10" s="239">
        <f t="shared" si="2"/>
        <v>-3.1517000668703068E-2</v>
      </c>
      <c r="I10" s="10"/>
    </row>
    <row r="11" spans="1:9" x14ac:dyDescent="0.2">
      <c r="A11" s="9" t="s">
        <v>2</v>
      </c>
      <c r="B11" s="10">
        <v>978</v>
      </c>
      <c r="C11" s="63">
        <f t="shared" si="0"/>
        <v>5695519</v>
      </c>
      <c r="D11" s="64">
        <f t="shared" si="0"/>
        <v>5695519</v>
      </c>
      <c r="E11" s="70">
        <f t="shared" si="1"/>
        <v>11391038</v>
      </c>
      <c r="F11" s="253">
        <v>11465924</v>
      </c>
      <c r="G11" s="1">
        <f t="shared" si="3"/>
        <v>-74886</v>
      </c>
      <c r="H11" s="239">
        <f t="shared" si="2"/>
        <v>-6.5311788216981031E-3</v>
      </c>
      <c r="I11" s="148"/>
    </row>
    <row r="12" spans="1:9" x14ac:dyDescent="0.2">
      <c r="A12" s="9" t="s">
        <v>3</v>
      </c>
      <c r="B12" s="10">
        <v>750</v>
      </c>
      <c r="C12" s="63">
        <f t="shared" si="0"/>
        <v>4367730</v>
      </c>
      <c r="D12" s="64">
        <f t="shared" si="0"/>
        <v>4367730</v>
      </c>
      <c r="E12" s="70">
        <f t="shared" si="1"/>
        <v>8735460</v>
      </c>
      <c r="F12" s="253">
        <v>9486016</v>
      </c>
      <c r="G12" s="1">
        <f t="shared" si="3"/>
        <v>-750556</v>
      </c>
      <c r="H12" s="239">
        <f t="shared" si="2"/>
        <v>-7.9122362854964615E-2</v>
      </c>
      <c r="I12" s="10"/>
    </row>
    <row r="13" spans="1:9" x14ac:dyDescent="0.2">
      <c r="A13" s="9" t="s">
        <v>7</v>
      </c>
      <c r="B13" s="10">
        <v>135</v>
      </c>
      <c r="C13" s="63">
        <f t="shared" si="0"/>
        <v>786191</v>
      </c>
      <c r="D13" s="64">
        <f t="shared" si="0"/>
        <v>786191</v>
      </c>
      <c r="E13" s="70">
        <f t="shared" si="1"/>
        <v>1572382</v>
      </c>
      <c r="F13" s="253">
        <v>1691694</v>
      </c>
      <c r="G13" s="1">
        <f t="shared" si="3"/>
        <v>-119312</v>
      </c>
      <c r="H13" s="239">
        <f t="shared" si="2"/>
        <v>-7.0528121516066147E-2</v>
      </c>
      <c r="I13" s="10"/>
    </row>
    <row r="14" spans="1:9" x14ac:dyDescent="0.2">
      <c r="A14" s="9" t="s">
        <v>8</v>
      </c>
      <c r="B14" s="10">
        <v>73</v>
      </c>
      <c r="C14" s="63">
        <f t="shared" si="0"/>
        <v>425126</v>
      </c>
      <c r="D14" s="64">
        <f t="shared" si="0"/>
        <v>425126</v>
      </c>
      <c r="E14" s="70">
        <f t="shared" si="1"/>
        <v>850252</v>
      </c>
      <c r="F14" s="253">
        <v>1040078</v>
      </c>
      <c r="G14" s="1">
        <f t="shared" si="3"/>
        <v>-189826</v>
      </c>
      <c r="H14" s="239">
        <f t="shared" si="2"/>
        <v>-0.18251131165162612</v>
      </c>
      <c r="I14" s="10"/>
    </row>
    <row r="15" spans="1:9" x14ac:dyDescent="0.2">
      <c r="A15" s="9" t="s">
        <v>4</v>
      </c>
      <c r="B15" s="10">
        <v>1128</v>
      </c>
      <c r="C15" s="63">
        <f t="shared" si="0"/>
        <v>6569065</v>
      </c>
      <c r="D15" s="64">
        <f t="shared" si="0"/>
        <v>6569065</v>
      </c>
      <c r="E15" s="70">
        <f t="shared" si="1"/>
        <v>13138130</v>
      </c>
      <c r="F15" s="253">
        <v>7806854</v>
      </c>
      <c r="G15" s="1">
        <f t="shared" si="3"/>
        <v>5331276</v>
      </c>
      <c r="H15" s="239">
        <f t="shared" si="2"/>
        <v>0.682896849358269</v>
      </c>
      <c r="I15" s="10"/>
    </row>
    <row r="16" spans="1:9" x14ac:dyDescent="0.2">
      <c r="A16" s="9" t="s">
        <v>5</v>
      </c>
      <c r="B16" s="10">
        <v>413</v>
      </c>
      <c r="C16" s="63">
        <f t="shared" si="0"/>
        <v>2405163</v>
      </c>
      <c r="D16" s="64">
        <f t="shared" si="0"/>
        <v>2405163</v>
      </c>
      <c r="E16" s="70">
        <f t="shared" si="1"/>
        <v>4810326</v>
      </c>
      <c r="F16" s="253">
        <v>3057580</v>
      </c>
      <c r="G16" s="1">
        <f t="shared" si="3"/>
        <v>1752746</v>
      </c>
      <c r="H16" s="239">
        <f t="shared" si="2"/>
        <v>0.57324616199739664</v>
      </c>
      <c r="I16" s="10"/>
    </row>
    <row r="17" spans="1:9" x14ac:dyDescent="0.2">
      <c r="A17" s="9" t="s">
        <v>6</v>
      </c>
      <c r="B17" s="10">
        <v>453</v>
      </c>
      <c r="C17" s="63">
        <f t="shared" si="0"/>
        <v>2638109</v>
      </c>
      <c r="D17" s="64">
        <f t="shared" si="0"/>
        <v>2638109</v>
      </c>
      <c r="E17" s="70">
        <f t="shared" si="1"/>
        <v>5276218</v>
      </c>
      <c r="F17" s="253">
        <v>5162798</v>
      </c>
      <c r="G17" s="1">
        <f t="shared" si="3"/>
        <v>113420</v>
      </c>
      <c r="H17" s="239">
        <f t="shared" si="2"/>
        <v>2.1968707665881951E-2</v>
      </c>
      <c r="I17" s="10"/>
    </row>
    <row r="18" spans="1:9" x14ac:dyDescent="0.2">
      <c r="A18" s="9" t="s">
        <v>123</v>
      </c>
      <c r="B18" s="10">
        <v>247</v>
      </c>
      <c r="C18" s="63">
        <f t="shared" si="0"/>
        <v>1438439</v>
      </c>
      <c r="D18" s="64">
        <f t="shared" si="0"/>
        <v>1438439</v>
      </c>
      <c r="E18" s="70">
        <f>ROUND((D18+C18),0)</f>
        <v>2876878</v>
      </c>
      <c r="F18" s="253">
        <v>2919738</v>
      </c>
      <c r="G18" s="1">
        <f t="shared" si="3"/>
        <v>-42860</v>
      </c>
      <c r="H18" s="239">
        <f t="shared" si="2"/>
        <v>-1.4679399315966022E-2</v>
      </c>
      <c r="I18" s="10"/>
    </row>
    <row r="19" spans="1:9" x14ac:dyDescent="0.2">
      <c r="A19" s="9" t="s">
        <v>156</v>
      </c>
      <c r="B19" s="10">
        <v>267</v>
      </c>
      <c r="C19" s="63">
        <f t="shared" si="0"/>
        <v>1554912</v>
      </c>
      <c r="D19" s="64">
        <f t="shared" si="0"/>
        <v>1554912</v>
      </c>
      <c r="E19" s="70">
        <f t="shared" ref="E19:E20" si="4">ROUND((D19+C19),0)</f>
        <v>3109824</v>
      </c>
      <c r="F19" s="253">
        <v>2919738</v>
      </c>
      <c r="G19" s="1">
        <f t="shared" si="3"/>
        <v>190086</v>
      </c>
      <c r="H19" s="239">
        <f t="shared" si="2"/>
        <v>6.5103786709629421E-2</v>
      </c>
      <c r="I19" s="10"/>
    </row>
    <row r="20" spans="1:9" x14ac:dyDescent="0.2">
      <c r="A20" s="9" t="s">
        <v>157</v>
      </c>
      <c r="B20" s="10">
        <v>99</v>
      </c>
      <c r="C20" s="63">
        <f t="shared" si="0"/>
        <v>576540</v>
      </c>
      <c r="D20" s="64">
        <f t="shared" si="0"/>
        <v>576540</v>
      </c>
      <c r="E20" s="70">
        <f t="shared" si="4"/>
        <v>1153080</v>
      </c>
      <c r="F20" s="253">
        <v>2919738</v>
      </c>
      <c r="G20" s="1">
        <f t="shared" si="3"/>
        <v>-1766658</v>
      </c>
      <c r="H20" s="239">
        <f t="shared" si="2"/>
        <v>-0.60507415391381003</v>
      </c>
      <c r="I20" s="10"/>
    </row>
    <row r="21" spans="1:9" ht="15.75" x14ac:dyDescent="0.25">
      <c r="A21" s="76" t="s">
        <v>34</v>
      </c>
      <c r="B21" s="13">
        <f t="shared" ref="B21:G21" si="5">SUM(B9:B20)</f>
        <v>6415</v>
      </c>
      <c r="C21" s="65">
        <f t="shared" si="5"/>
        <v>37358647</v>
      </c>
      <c r="D21" s="26">
        <f t="shared" si="5"/>
        <v>37358647</v>
      </c>
      <c r="E21" s="71">
        <f t="shared" si="5"/>
        <v>74717294</v>
      </c>
      <c r="F21" s="13">
        <f t="shared" si="5"/>
        <v>76088624</v>
      </c>
      <c r="G21" s="305">
        <f t="shared" si="5"/>
        <v>-1371330</v>
      </c>
      <c r="H21" s="241">
        <f t="shared" si="2"/>
        <v>-1.8022799308343388E-2</v>
      </c>
      <c r="I21" s="10"/>
    </row>
    <row r="22" spans="1:9" x14ac:dyDescent="0.2">
      <c r="A22" s="7" t="s">
        <v>11</v>
      </c>
      <c r="B22" s="14">
        <v>1324</v>
      </c>
      <c r="C22" s="61">
        <f>ROUND(($B22*C$6),0)</f>
        <v>7710499</v>
      </c>
      <c r="D22" s="62">
        <f>ROUND(($B22*D$6),0)</f>
        <v>7710499</v>
      </c>
      <c r="E22" s="72">
        <f>ROUND((D22+C22),0)</f>
        <v>15420998</v>
      </c>
      <c r="F22" s="166">
        <v>15626238</v>
      </c>
      <c r="G22" s="11">
        <f>E22-F22</f>
        <v>-205240</v>
      </c>
      <c r="H22" s="239">
        <f t="shared" si="2"/>
        <v>-1.3134319341609926E-2</v>
      </c>
      <c r="I22" s="10"/>
    </row>
    <row r="23" spans="1:9" ht="15.75" thickBot="1" x14ac:dyDescent="0.25">
      <c r="A23" s="77" t="s">
        <v>33</v>
      </c>
      <c r="B23" s="15">
        <f t="shared" ref="B23:G23" si="6">B22+B21</f>
        <v>7739</v>
      </c>
      <c r="C23" s="66">
        <f t="shared" si="6"/>
        <v>45069146</v>
      </c>
      <c r="D23" s="41">
        <f t="shared" si="6"/>
        <v>45069146</v>
      </c>
      <c r="E23" s="73">
        <f t="shared" si="6"/>
        <v>90138292</v>
      </c>
      <c r="F23" s="16">
        <f t="shared" si="6"/>
        <v>91714862</v>
      </c>
      <c r="G23" s="16">
        <f t="shared" si="6"/>
        <v>-1576570</v>
      </c>
      <c r="H23" s="242">
        <f t="shared" si="2"/>
        <v>-1.7189907563727239E-2</v>
      </c>
      <c r="I23" s="10"/>
    </row>
    <row r="24" spans="1:9" ht="15.75" thickTop="1" x14ac:dyDescent="0.2">
      <c r="A24" s="9"/>
      <c r="B24" s="19">
        <v>7739</v>
      </c>
      <c r="C24" s="25"/>
      <c r="D24" s="25"/>
      <c r="E24" s="25"/>
      <c r="F24" s="19"/>
      <c r="G24" s="25"/>
    </row>
    <row r="25" spans="1:9" x14ac:dyDescent="0.2">
      <c r="A25" s="7"/>
      <c r="B25" s="19">
        <f>B24-B19-B20</f>
        <v>7373</v>
      </c>
      <c r="C25" s="25"/>
      <c r="D25" s="25"/>
      <c r="E25" s="25">
        <v>90138292</v>
      </c>
      <c r="F25" s="19"/>
      <c r="G25" s="25"/>
    </row>
    <row r="26" spans="1:9" x14ac:dyDescent="0.2">
      <c r="A26" s="7"/>
      <c r="B26" s="19"/>
      <c r="C26" s="25"/>
      <c r="D26" s="25"/>
      <c r="E26" s="25"/>
      <c r="F26" s="19"/>
      <c r="G26" s="25"/>
    </row>
    <row r="27" spans="1:9" x14ac:dyDescent="0.2">
      <c r="A27" s="7"/>
      <c r="B27" s="19"/>
      <c r="C27" s="25" t="s">
        <v>165</v>
      </c>
      <c r="D27" s="306"/>
      <c r="E27" s="176">
        <f>E19+E20</f>
        <v>4262904</v>
      </c>
      <c r="F27" s="19"/>
      <c r="G27" s="25"/>
    </row>
    <row r="28" spans="1:9" x14ac:dyDescent="0.2">
      <c r="A28" s="7"/>
      <c r="B28" s="19"/>
      <c r="C28" s="25" t="s">
        <v>166</v>
      </c>
      <c r="D28" s="25"/>
      <c r="E28" s="176">
        <f>E21-E27</f>
        <v>70454390</v>
      </c>
      <c r="F28" s="19"/>
      <c r="G28" s="25"/>
    </row>
    <row r="29" spans="1:9" x14ac:dyDescent="0.2">
      <c r="A29" s="7"/>
      <c r="B29" s="19"/>
      <c r="C29" s="25"/>
      <c r="D29" s="25"/>
      <c r="E29" s="176"/>
      <c r="F29" s="19"/>
      <c r="G29" s="25"/>
    </row>
    <row r="30" spans="1:9" x14ac:dyDescent="0.2">
      <c r="A30" s="7"/>
      <c r="B30" s="19"/>
      <c r="C30" s="25"/>
      <c r="D30" s="25"/>
      <c r="E30" s="25"/>
      <c r="F30" s="19"/>
      <c r="G30" s="25"/>
    </row>
    <row r="31" spans="1:9" x14ac:dyDescent="0.2">
      <c r="A31" s="7"/>
      <c r="B31" s="19"/>
      <c r="C31" s="25"/>
      <c r="D31" s="25"/>
      <c r="E31" s="25"/>
      <c r="F31" s="19"/>
      <c r="G31" s="25"/>
    </row>
    <row r="32" spans="1:9" s="150" customFormat="1" ht="15.75" x14ac:dyDescent="0.2">
      <c r="A32" s="149" t="s">
        <v>62</v>
      </c>
      <c r="C32" s="314" t="s">
        <v>63</v>
      </c>
      <c r="D32" s="315"/>
      <c r="E32" s="316"/>
      <c r="F32" s="151"/>
      <c r="G32" s="151"/>
      <c r="I32" s="214" t="s">
        <v>112</v>
      </c>
    </row>
    <row r="33" spans="1:13" s="150" customFormat="1" ht="47.25" x14ac:dyDescent="0.2">
      <c r="B33" s="218" t="s">
        <v>129</v>
      </c>
      <c r="C33" s="153" t="s">
        <v>104</v>
      </c>
      <c r="D33" s="153" t="s">
        <v>80</v>
      </c>
      <c r="E33" s="153"/>
      <c r="F33" s="154" t="s">
        <v>65</v>
      </c>
      <c r="G33" s="154" t="s">
        <v>66</v>
      </c>
      <c r="H33" s="218" t="s">
        <v>160</v>
      </c>
      <c r="I33" s="152" t="str">
        <f>E7</f>
        <v>FY 2018-19</v>
      </c>
      <c r="J33" s="155" t="s">
        <v>26</v>
      </c>
    </row>
    <row r="34" spans="1:13" s="150" customFormat="1" ht="16.5" customHeight="1" x14ac:dyDescent="0.25">
      <c r="A34" s="174" t="s">
        <v>68</v>
      </c>
      <c r="B34" s="252">
        <v>17518428</v>
      </c>
      <c r="C34" s="157">
        <v>1390948</v>
      </c>
      <c r="D34" s="157">
        <v>-3756266</v>
      </c>
      <c r="E34" s="156"/>
      <c r="F34" s="158">
        <f t="shared" ref="F34:F45" si="7">SUM(C34:E34)</f>
        <v>-2365318</v>
      </c>
      <c r="G34" s="156"/>
      <c r="H34" s="159">
        <f>B34+F34</f>
        <v>15153110</v>
      </c>
      <c r="I34" s="159">
        <f t="shared" ref="I34:I45" si="8">E9</f>
        <v>15153110</v>
      </c>
      <c r="J34" s="159">
        <f t="shared" ref="J34:J48" si="9">I34-H34</f>
        <v>0</v>
      </c>
      <c r="M34" s="156"/>
    </row>
    <row r="35" spans="1:13" s="150" customFormat="1" ht="15.75" x14ac:dyDescent="0.25">
      <c r="A35" s="174" t="s">
        <v>69</v>
      </c>
      <c r="B35" s="253">
        <v>6867024</v>
      </c>
      <c r="C35" s="161">
        <v>538836</v>
      </c>
      <c r="D35" s="161">
        <v>-755264</v>
      </c>
      <c r="E35" s="160"/>
      <c r="F35" s="162">
        <f t="shared" si="7"/>
        <v>-216428</v>
      </c>
      <c r="G35" s="160"/>
      <c r="H35" s="163">
        <f t="shared" ref="H35:H47" si="10">B35+F35</f>
        <v>6650596</v>
      </c>
      <c r="I35" s="163">
        <f t="shared" si="8"/>
        <v>6650596</v>
      </c>
      <c r="J35" s="163">
        <f t="shared" si="9"/>
        <v>0</v>
      </c>
    </row>
    <row r="36" spans="1:13" s="150" customFormat="1" ht="15.75" x14ac:dyDescent="0.25">
      <c r="A36" s="174" t="s">
        <v>70</v>
      </c>
      <c r="B36" s="253">
        <v>11465924</v>
      </c>
      <c r="C36" s="161">
        <v>902237</v>
      </c>
      <c r="D36" s="161">
        <v>-977123</v>
      </c>
      <c r="E36" s="160"/>
      <c r="F36" s="162">
        <f t="shared" si="7"/>
        <v>-74886</v>
      </c>
      <c r="G36" s="160"/>
      <c r="H36" s="163">
        <f t="shared" si="10"/>
        <v>11391038</v>
      </c>
      <c r="I36" s="163">
        <f t="shared" si="8"/>
        <v>11391038</v>
      </c>
      <c r="J36" s="163">
        <f t="shared" si="9"/>
        <v>0</v>
      </c>
    </row>
    <row r="37" spans="1:13" s="150" customFormat="1" ht="15.75" customHeight="1" x14ac:dyDescent="0.25">
      <c r="A37" s="174" t="s">
        <v>71</v>
      </c>
      <c r="B37" s="253">
        <v>9009836</v>
      </c>
      <c r="C37" s="161">
        <v>714271</v>
      </c>
      <c r="D37" s="161">
        <v>-988647</v>
      </c>
      <c r="E37" s="160"/>
      <c r="F37" s="162">
        <f t="shared" si="7"/>
        <v>-274376</v>
      </c>
      <c r="G37" s="160"/>
      <c r="H37" s="163">
        <f t="shared" si="10"/>
        <v>8735460</v>
      </c>
      <c r="I37" s="163">
        <f t="shared" si="8"/>
        <v>8735460</v>
      </c>
      <c r="J37" s="163">
        <f t="shared" si="9"/>
        <v>0</v>
      </c>
    </row>
    <row r="38" spans="1:13" s="150" customFormat="1" ht="15" customHeight="1" x14ac:dyDescent="0.25">
      <c r="A38" s="174" t="s">
        <v>72</v>
      </c>
      <c r="B38" s="253">
        <v>1691694</v>
      </c>
      <c r="C38" s="161">
        <v>137842</v>
      </c>
      <c r="D38" s="161">
        <v>-257154</v>
      </c>
      <c r="E38" s="160"/>
      <c r="F38" s="162">
        <f t="shared" si="7"/>
        <v>-119312</v>
      </c>
      <c r="G38" s="160"/>
      <c r="H38" s="163">
        <f t="shared" si="10"/>
        <v>1572382</v>
      </c>
      <c r="I38" s="163">
        <f t="shared" si="8"/>
        <v>1572382</v>
      </c>
      <c r="J38" s="163">
        <f t="shared" si="9"/>
        <v>0</v>
      </c>
    </row>
    <row r="39" spans="1:13" s="150" customFormat="1" ht="14.25" customHeight="1" x14ac:dyDescent="0.25">
      <c r="A39" s="174" t="s">
        <v>73</v>
      </c>
      <c r="B39" s="253">
        <v>1040078</v>
      </c>
      <c r="C39" s="161">
        <v>87717</v>
      </c>
      <c r="D39" s="161">
        <v>-277543</v>
      </c>
      <c r="E39" s="160"/>
      <c r="F39" s="162">
        <f t="shared" si="7"/>
        <v>-189826</v>
      </c>
      <c r="G39" s="160"/>
      <c r="H39" s="163">
        <f t="shared" si="10"/>
        <v>850252</v>
      </c>
      <c r="I39" s="163">
        <f t="shared" si="8"/>
        <v>850252</v>
      </c>
      <c r="J39" s="163">
        <f t="shared" si="9"/>
        <v>0</v>
      </c>
    </row>
    <row r="40" spans="1:13" s="150" customFormat="1" ht="15" customHeight="1" x14ac:dyDescent="0.25">
      <c r="A40" s="174" t="s">
        <v>74</v>
      </c>
      <c r="B40" s="253">
        <v>7806854</v>
      </c>
      <c r="C40" s="161">
        <v>614022</v>
      </c>
      <c r="D40" s="161">
        <v>4717254</v>
      </c>
      <c r="E40" s="160"/>
      <c r="F40" s="162">
        <f t="shared" si="7"/>
        <v>5331276</v>
      </c>
      <c r="G40" s="160"/>
      <c r="H40" s="163">
        <f t="shared" si="10"/>
        <v>13138130</v>
      </c>
      <c r="I40" s="163">
        <f t="shared" si="8"/>
        <v>13138130</v>
      </c>
      <c r="J40" s="163">
        <f t="shared" si="9"/>
        <v>0</v>
      </c>
    </row>
    <row r="41" spans="1:13" s="150" customFormat="1" ht="15.75" customHeight="1" x14ac:dyDescent="0.25">
      <c r="A41" s="283" t="s">
        <v>168</v>
      </c>
      <c r="B41" s="253">
        <v>3057580</v>
      </c>
      <c r="C41" s="161">
        <v>238090</v>
      </c>
      <c r="D41" s="161">
        <v>1514656</v>
      </c>
      <c r="E41" s="160"/>
      <c r="F41" s="162">
        <f t="shared" si="7"/>
        <v>1752746</v>
      </c>
      <c r="G41" s="160"/>
      <c r="H41" s="163">
        <f t="shared" si="10"/>
        <v>4810326</v>
      </c>
      <c r="I41" s="163">
        <f t="shared" si="8"/>
        <v>4810326</v>
      </c>
      <c r="J41" s="163">
        <f t="shared" si="9"/>
        <v>0</v>
      </c>
    </row>
    <row r="42" spans="1:13" s="150" customFormat="1" ht="15.75" x14ac:dyDescent="0.25">
      <c r="A42" s="174" t="s">
        <v>75</v>
      </c>
      <c r="B42" s="253">
        <v>5162798</v>
      </c>
      <c r="C42" s="161">
        <v>413525</v>
      </c>
      <c r="D42" s="161">
        <v>-300105</v>
      </c>
      <c r="E42" s="160"/>
      <c r="F42" s="162">
        <f t="shared" si="7"/>
        <v>113420</v>
      </c>
      <c r="G42" s="160"/>
      <c r="H42" s="163">
        <f t="shared" si="10"/>
        <v>5276218</v>
      </c>
      <c r="I42" s="163">
        <f t="shared" si="8"/>
        <v>5276218</v>
      </c>
      <c r="J42" s="163">
        <f t="shared" si="9"/>
        <v>0</v>
      </c>
    </row>
    <row r="43" spans="1:13" s="150" customFormat="1" ht="15.75" x14ac:dyDescent="0.25">
      <c r="A43" s="9" t="s">
        <v>123</v>
      </c>
      <c r="B43" s="253">
        <v>2919738</v>
      </c>
      <c r="C43" s="161">
        <v>225559</v>
      </c>
      <c r="D43" s="161">
        <v>-268419</v>
      </c>
      <c r="E43" s="160"/>
      <c r="F43" s="162">
        <f t="shared" si="7"/>
        <v>-42860</v>
      </c>
      <c r="G43" s="160"/>
      <c r="H43" s="163">
        <f t="shared" si="10"/>
        <v>2876878</v>
      </c>
      <c r="I43" s="163">
        <f t="shared" si="8"/>
        <v>2876878</v>
      </c>
      <c r="J43" s="163">
        <f t="shared" si="9"/>
        <v>0</v>
      </c>
    </row>
    <row r="44" spans="1:13" s="150" customFormat="1" ht="15.75" x14ac:dyDescent="0.25">
      <c r="A44" s="9" t="s">
        <v>156</v>
      </c>
      <c r="B44" s="253">
        <v>3233014</v>
      </c>
      <c r="C44" s="161">
        <v>250621</v>
      </c>
      <c r="D44" s="161">
        <v>-373811</v>
      </c>
      <c r="E44" s="160"/>
      <c r="F44" s="162">
        <f t="shared" si="7"/>
        <v>-123190</v>
      </c>
      <c r="G44" s="160"/>
      <c r="H44" s="163">
        <f t="shared" si="10"/>
        <v>3109824</v>
      </c>
      <c r="I44" s="163">
        <f t="shared" si="8"/>
        <v>3109824</v>
      </c>
      <c r="J44" s="163">
        <f t="shared" si="9"/>
        <v>0</v>
      </c>
    </row>
    <row r="45" spans="1:13" s="150" customFormat="1" ht="15.75" x14ac:dyDescent="0.25">
      <c r="A45" s="9" t="s">
        <v>157</v>
      </c>
      <c r="B45" s="253">
        <v>476180</v>
      </c>
      <c r="C45" s="161">
        <v>37593</v>
      </c>
      <c r="D45" s="161">
        <v>639307</v>
      </c>
      <c r="E45" s="160"/>
      <c r="F45" s="162">
        <f t="shared" si="7"/>
        <v>676900</v>
      </c>
      <c r="G45" s="160"/>
      <c r="H45" s="163">
        <f t="shared" si="10"/>
        <v>1153080</v>
      </c>
      <c r="I45" s="163">
        <f t="shared" si="8"/>
        <v>1153080</v>
      </c>
      <c r="J45" s="163">
        <f t="shared" si="9"/>
        <v>0</v>
      </c>
    </row>
    <row r="46" spans="1:13" s="150" customFormat="1" ht="15.75" x14ac:dyDescent="0.25">
      <c r="A46" s="76" t="s">
        <v>34</v>
      </c>
      <c r="B46" s="165">
        <f t="shared" ref="B46:I46" si="11">SUM(B34:B45)</f>
        <v>70249148</v>
      </c>
      <c r="C46" s="165">
        <f t="shared" si="11"/>
        <v>5551261</v>
      </c>
      <c r="D46" s="165">
        <f t="shared" si="11"/>
        <v>-1083115</v>
      </c>
      <c r="E46" s="165">
        <f t="shared" si="11"/>
        <v>0</v>
      </c>
      <c r="F46" s="204">
        <f t="shared" si="11"/>
        <v>4468146</v>
      </c>
      <c r="G46" s="164">
        <f t="shared" si="11"/>
        <v>0</v>
      </c>
      <c r="H46" s="165">
        <f t="shared" si="11"/>
        <v>74717294</v>
      </c>
      <c r="I46" s="166">
        <f t="shared" si="11"/>
        <v>74717294</v>
      </c>
      <c r="J46" s="166">
        <f t="shared" si="9"/>
        <v>0</v>
      </c>
    </row>
    <row r="47" spans="1:13" s="150" customFormat="1" ht="15.75" x14ac:dyDescent="0.25">
      <c r="A47" s="7" t="s">
        <v>11</v>
      </c>
      <c r="B47" s="166">
        <v>15626238</v>
      </c>
      <c r="C47" s="193">
        <v>1240575</v>
      </c>
      <c r="D47" s="193">
        <v>-1445815</v>
      </c>
      <c r="E47" s="165"/>
      <c r="F47" s="162">
        <f>SUM(C47:E47)</f>
        <v>-205240</v>
      </c>
      <c r="G47" s="165"/>
      <c r="H47" s="163">
        <f t="shared" si="10"/>
        <v>15420998</v>
      </c>
      <c r="I47" s="166">
        <f>E22</f>
        <v>15420998</v>
      </c>
      <c r="J47" s="166">
        <f t="shared" si="9"/>
        <v>0</v>
      </c>
    </row>
    <row r="48" spans="1:13" s="150" customFormat="1" ht="16.5" thickBot="1" x14ac:dyDescent="0.3">
      <c r="A48" s="77" t="s">
        <v>33</v>
      </c>
      <c r="B48" s="165">
        <f t="shared" ref="B48:I48" si="12">SUM(B46:B47)</f>
        <v>85875386</v>
      </c>
      <c r="C48" s="165">
        <f t="shared" si="12"/>
        <v>6791836</v>
      </c>
      <c r="D48" s="165">
        <f t="shared" si="12"/>
        <v>-2528930</v>
      </c>
      <c r="E48" s="165">
        <f t="shared" si="12"/>
        <v>0</v>
      </c>
      <c r="F48" s="165">
        <f t="shared" si="12"/>
        <v>4262906</v>
      </c>
      <c r="G48" s="165">
        <f t="shared" si="12"/>
        <v>0</v>
      </c>
      <c r="H48" s="165">
        <f t="shared" si="12"/>
        <v>90138292</v>
      </c>
      <c r="I48" s="165">
        <f t="shared" si="12"/>
        <v>90138292</v>
      </c>
      <c r="J48" s="166">
        <f t="shared" si="9"/>
        <v>0</v>
      </c>
    </row>
    <row r="49" spans="1:17" s="150" customFormat="1" ht="16.5" thickTop="1" x14ac:dyDescent="0.25">
      <c r="A49" s="23"/>
      <c r="B49" s="208"/>
      <c r="C49" s="239">
        <f>C48/B48</f>
        <v>7.9089437804681306E-2</v>
      </c>
      <c r="D49" s="239">
        <f>D48/B48</f>
        <v>-2.9448834151383028E-2</v>
      </c>
      <c r="E49" s="208"/>
      <c r="F49" s="208"/>
      <c r="G49" s="208"/>
      <c r="H49" s="208"/>
      <c r="I49" s="208"/>
      <c r="J49" s="289"/>
    </row>
    <row r="50" spans="1:17" s="150" customFormat="1" ht="15.75" x14ac:dyDescent="0.25">
      <c r="A50" s="23"/>
      <c r="B50" s="208"/>
      <c r="C50" s="239"/>
      <c r="D50" s="208"/>
      <c r="E50" s="208"/>
      <c r="F50" s="208"/>
      <c r="G50" s="208"/>
      <c r="H50" s="208"/>
      <c r="I50" s="208"/>
      <c r="J50" s="209"/>
    </row>
    <row r="51" spans="1:17" s="150" customFormat="1" x14ac:dyDescent="0.2">
      <c r="A51" s="167"/>
      <c r="B51" s="147">
        <v>12531.064461047088</v>
      </c>
      <c r="H51" s="147">
        <v>11647.279010262091</v>
      </c>
      <c r="I51" s="192">
        <f>(H51-B51)/B51</f>
        <v>-7.0527564001625798E-2</v>
      </c>
      <c r="M51" s="168"/>
      <c r="N51" s="168"/>
      <c r="O51" s="168"/>
      <c r="P51" s="168"/>
      <c r="Q51" s="168"/>
    </row>
    <row r="52" spans="1:17" s="302" customFormat="1" x14ac:dyDescent="0.2">
      <c r="B52" s="303"/>
      <c r="H52" s="156">
        <f>H46-B46</f>
        <v>4468146</v>
      </c>
      <c r="I52" s="304"/>
      <c r="M52" s="173"/>
      <c r="N52" s="173"/>
      <c r="O52" s="173"/>
      <c r="P52" s="173"/>
      <c r="Q52" s="173"/>
    </row>
    <row r="53" spans="1:17" s="150" customFormat="1" ht="31.5" x14ac:dyDescent="0.25">
      <c r="B53" s="256"/>
      <c r="C53" s="309" t="s">
        <v>154</v>
      </c>
      <c r="D53" s="309" t="s">
        <v>163</v>
      </c>
      <c r="F53" s="179" t="s">
        <v>81</v>
      </c>
      <c r="M53" s="169"/>
      <c r="N53" s="168"/>
      <c r="O53" s="168"/>
      <c r="P53" s="168"/>
      <c r="Q53" s="168"/>
    </row>
    <row r="54" spans="1:17" s="150" customFormat="1" ht="15.75" x14ac:dyDescent="0.25">
      <c r="C54" s="55" t="s">
        <v>127</v>
      </c>
      <c r="D54" s="55" t="s">
        <v>162</v>
      </c>
      <c r="F54" s="179" t="s">
        <v>82</v>
      </c>
      <c r="G54" s="220" t="s">
        <v>61</v>
      </c>
      <c r="I54" s="169"/>
      <c r="J54" s="168"/>
      <c r="K54" s="168"/>
      <c r="L54" s="168"/>
      <c r="M54" s="168"/>
    </row>
    <row r="55" spans="1:17" s="150" customFormat="1" ht="15.75" x14ac:dyDescent="0.25">
      <c r="C55" s="59" t="s">
        <v>95</v>
      </c>
      <c r="D55" s="59"/>
      <c r="E55" s="170" t="s">
        <v>67</v>
      </c>
      <c r="F55" s="147">
        <v>12531.064461047088</v>
      </c>
      <c r="G55" s="219" t="s">
        <v>30</v>
      </c>
      <c r="H55" s="243" t="s">
        <v>105</v>
      </c>
      <c r="I55" s="171"/>
      <c r="J55" s="173"/>
      <c r="K55" s="172"/>
    </row>
    <row r="56" spans="1:17" s="150" customFormat="1" x14ac:dyDescent="0.2">
      <c r="A56" s="174" t="s">
        <v>68</v>
      </c>
      <c r="C56" s="10">
        <v>1398</v>
      </c>
      <c r="D56" s="10">
        <v>1509</v>
      </c>
      <c r="E56" s="194">
        <f t="shared" ref="E56:E67" si="13">D56-C56</f>
        <v>111</v>
      </c>
      <c r="F56" s="157">
        <f>ROUND(E56*$F$55,0)</f>
        <v>1390948</v>
      </c>
      <c r="G56" s="239">
        <f>E56/C56</f>
        <v>7.9399141630901282E-2</v>
      </c>
      <c r="H56" s="175"/>
      <c r="I56" s="175">
        <f>H56+F56</f>
        <v>1390948</v>
      </c>
      <c r="J56" s="173"/>
      <c r="K56" s="175"/>
      <c r="L56" s="160"/>
    </row>
    <row r="57" spans="1:17" s="150" customFormat="1" x14ac:dyDescent="0.2">
      <c r="A57" s="174" t="s">
        <v>69</v>
      </c>
      <c r="C57" s="10">
        <v>548</v>
      </c>
      <c r="D57" s="10">
        <v>591</v>
      </c>
      <c r="E57" s="194">
        <f t="shared" si="13"/>
        <v>43</v>
      </c>
      <c r="F57" s="161">
        <f t="shared" ref="F57:F67" si="14">ROUND(E57*$F$55,0)</f>
        <v>538836</v>
      </c>
      <c r="G57" s="239">
        <f t="shared" ref="G57:G70" si="15">E57/C57</f>
        <v>7.8467153284671534E-2</v>
      </c>
      <c r="H57" s="176"/>
      <c r="I57" s="176">
        <f t="shared" ref="I57:I70" si="16">H57+F57</f>
        <v>538836</v>
      </c>
      <c r="J57" s="173"/>
      <c r="K57" s="176"/>
      <c r="L57" s="160"/>
    </row>
    <row r="58" spans="1:17" s="150" customFormat="1" x14ac:dyDescent="0.2">
      <c r="A58" s="174" t="s">
        <v>70</v>
      </c>
      <c r="C58" s="10">
        <v>915</v>
      </c>
      <c r="D58" s="10">
        <v>987</v>
      </c>
      <c r="E58" s="194">
        <f t="shared" si="13"/>
        <v>72</v>
      </c>
      <c r="F58" s="161">
        <f t="shared" si="14"/>
        <v>902237</v>
      </c>
      <c r="G58" s="239">
        <f t="shared" si="15"/>
        <v>7.8688524590163941E-2</v>
      </c>
      <c r="H58" s="176"/>
      <c r="I58" s="176">
        <f t="shared" si="16"/>
        <v>902237</v>
      </c>
      <c r="J58" s="173"/>
      <c r="K58" s="176"/>
      <c r="L58" s="160"/>
    </row>
    <row r="59" spans="1:17" s="150" customFormat="1" x14ac:dyDescent="0.2">
      <c r="A59" s="174" t="s">
        <v>71</v>
      </c>
      <c r="C59" s="10">
        <v>719</v>
      </c>
      <c r="D59" s="10">
        <v>776</v>
      </c>
      <c r="E59" s="194">
        <f t="shared" si="13"/>
        <v>57</v>
      </c>
      <c r="F59" s="161">
        <f t="shared" si="14"/>
        <v>714271</v>
      </c>
      <c r="G59" s="239">
        <f t="shared" si="15"/>
        <v>7.9276773296244787E-2</v>
      </c>
      <c r="H59" s="176"/>
      <c r="I59" s="176">
        <f t="shared" si="16"/>
        <v>714271</v>
      </c>
      <c r="J59" s="173"/>
      <c r="K59" s="176"/>
      <c r="L59" s="160"/>
    </row>
    <row r="60" spans="1:17" s="150" customFormat="1" x14ac:dyDescent="0.2">
      <c r="A60" s="174" t="s">
        <v>72</v>
      </c>
      <c r="C60" s="10">
        <v>135</v>
      </c>
      <c r="D60" s="10">
        <v>146</v>
      </c>
      <c r="E60" s="194">
        <f t="shared" si="13"/>
        <v>11</v>
      </c>
      <c r="F60" s="161">
        <f t="shared" si="14"/>
        <v>137842</v>
      </c>
      <c r="G60" s="239">
        <f t="shared" si="15"/>
        <v>8.1481481481481488E-2</v>
      </c>
      <c r="H60" s="176"/>
      <c r="I60" s="176">
        <f t="shared" si="16"/>
        <v>137842</v>
      </c>
      <c r="J60" s="173"/>
      <c r="K60" s="176"/>
      <c r="L60" s="160"/>
    </row>
    <row r="61" spans="1:17" s="150" customFormat="1" x14ac:dyDescent="0.2">
      <c r="A61" s="174" t="s">
        <v>73</v>
      </c>
      <c r="C61" s="10">
        <v>83</v>
      </c>
      <c r="D61" s="10">
        <v>90</v>
      </c>
      <c r="E61" s="194">
        <f t="shared" si="13"/>
        <v>7</v>
      </c>
      <c r="F61" s="161">
        <f t="shared" si="14"/>
        <v>87717</v>
      </c>
      <c r="G61" s="239">
        <f t="shared" si="15"/>
        <v>8.4337349397590355E-2</v>
      </c>
      <c r="H61" s="176"/>
      <c r="I61" s="176">
        <f t="shared" si="16"/>
        <v>87717</v>
      </c>
      <c r="J61" s="173"/>
      <c r="K61" s="176"/>
      <c r="L61" s="160"/>
    </row>
    <row r="62" spans="1:17" s="150" customFormat="1" x14ac:dyDescent="0.2">
      <c r="A62" s="174" t="s">
        <v>74</v>
      </c>
      <c r="C62" s="10">
        <v>623</v>
      </c>
      <c r="D62" s="10">
        <v>672</v>
      </c>
      <c r="E62" s="194">
        <f t="shared" si="13"/>
        <v>49</v>
      </c>
      <c r="F62" s="161">
        <f t="shared" si="14"/>
        <v>614022</v>
      </c>
      <c r="G62" s="239">
        <f t="shared" si="15"/>
        <v>7.8651685393258425E-2</v>
      </c>
      <c r="H62" s="176"/>
      <c r="I62" s="176">
        <f t="shared" si="16"/>
        <v>614022</v>
      </c>
      <c r="J62" s="173"/>
      <c r="K62" s="176"/>
      <c r="L62" s="160"/>
    </row>
    <row r="63" spans="1:17" s="150" customFormat="1" x14ac:dyDescent="0.2">
      <c r="A63" s="283" t="s">
        <v>168</v>
      </c>
      <c r="C63" s="10">
        <v>244</v>
      </c>
      <c r="D63" s="10">
        <v>263</v>
      </c>
      <c r="E63" s="194">
        <f t="shared" si="13"/>
        <v>19</v>
      </c>
      <c r="F63" s="161">
        <f t="shared" si="14"/>
        <v>238090</v>
      </c>
      <c r="G63" s="239">
        <f t="shared" si="15"/>
        <v>7.7868852459016397E-2</v>
      </c>
      <c r="H63" s="176"/>
      <c r="I63" s="176">
        <f t="shared" si="16"/>
        <v>238090</v>
      </c>
      <c r="J63" s="173"/>
      <c r="K63" s="176"/>
      <c r="L63" s="160"/>
    </row>
    <row r="64" spans="1:17" s="168" customFormat="1" x14ac:dyDescent="0.2">
      <c r="A64" s="174" t="s">
        <v>75</v>
      </c>
      <c r="C64" s="21">
        <v>412</v>
      </c>
      <c r="D64" s="10">
        <v>445</v>
      </c>
      <c r="E64" s="195">
        <f t="shared" si="13"/>
        <v>33</v>
      </c>
      <c r="F64" s="282">
        <f t="shared" si="14"/>
        <v>413525</v>
      </c>
      <c r="G64" s="281">
        <f t="shared" si="15"/>
        <v>8.0097087378640783E-2</v>
      </c>
      <c r="H64" s="176"/>
      <c r="I64" s="176">
        <f t="shared" si="16"/>
        <v>413525</v>
      </c>
      <c r="J64" s="173"/>
      <c r="K64" s="176"/>
      <c r="L64" s="188"/>
    </row>
    <row r="65" spans="1:12" s="150" customFormat="1" x14ac:dyDescent="0.2">
      <c r="A65" s="283" t="s">
        <v>123</v>
      </c>
      <c r="C65" s="10">
        <v>233</v>
      </c>
      <c r="D65" s="10">
        <v>251</v>
      </c>
      <c r="E65" s="194">
        <f t="shared" si="13"/>
        <v>18</v>
      </c>
      <c r="F65" s="161">
        <f t="shared" si="14"/>
        <v>225559</v>
      </c>
      <c r="G65" s="239">
        <f t="shared" si="15"/>
        <v>7.7253218884120178E-2</v>
      </c>
      <c r="H65" s="176"/>
      <c r="I65" s="176">
        <f t="shared" si="16"/>
        <v>225559</v>
      </c>
      <c r="J65" s="173"/>
      <c r="K65" s="176"/>
      <c r="L65" s="160"/>
    </row>
    <row r="66" spans="1:12" s="168" customFormat="1" x14ac:dyDescent="0.2">
      <c r="A66" s="9" t="s">
        <v>156</v>
      </c>
      <c r="C66" s="21">
        <v>258</v>
      </c>
      <c r="D66" s="10">
        <v>278</v>
      </c>
      <c r="E66" s="195">
        <f t="shared" si="13"/>
        <v>20</v>
      </c>
      <c r="F66" s="282">
        <f t="shared" si="14"/>
        <v>250621</v>
      </c>
      <c r="G66" s="281">
        <f t="shared" si="15"/>
        <v>7.7519379844961239E-2</v>
      </c>
      <c r="H66" s="176"/>
      <c r="I66" s="176">
        <f t="shared" si="16"/>
        <v>250621</v>
      </c>
      <c r="J66" s="173"/>
      <c r="K66" s="176"/>
      <c r="L66" s="188"/>
    </row>
    <row r="67" spans="1:12" s="150" customFormat="1" x14ac:dyDescent="0.2">
      <c r="A67" s="9" t="s">
        <v>157</v>
      </c>
      <c r="C67" s="10">
        <v>38</v>
      </c>
      <c r="D67" s="10">
        <v>41</v>
      </c>
      <c r="E67" s="194">
        <f t="shared" si="13"/>
        <v>3</v>
      </c>
      <c r="F67" s="161">
        <f t="shared" si="14"/>
        <v>37593</v>
      </c>
      <c r="G67" s="239">
        <f t="shared" si="15"/>
        <v>7.8947368421052627E-2</v>
      </c>
      <c r="H67" s="176"/>
      <c r="I67" s="176">
        <f t="shared" si="16"/>
        <v>37593</v>
      </c>
      <c r="J67" s="173"/>
      <c r="K67" s="176"/>
      <c r="L67" s="160"/>
    </row>
    <row r="68" spans="1:12" s="150" customFormat="1" x14ac:dyDescent="0.2">
      <c r="A68" s="76" t="s">
        <v>34</v>
      </c>
      <c r="C68" s="13">
        <f t="shared" ref="C68:D68" si="17">SUM(C56:C67)</f>
        <v>5606</v>
      </c>
      <c r="D68" s="13">
        <f t="shared" si="17"/>
        <v>6049</v>
      </c>
      <c r="E68" s="196">
        <f>SUM(E56:E67)</f>
        <v>443</v>
      </c>
      <c r="F68" s="197">
        <f>SUM(F56:F67)</f>
        <v>5551261</v>
      </c>
      <c r="G68" s="241">
        <f t="shared" si="15"/>
        <v>7.9022475918658575E-2</v>
      </c>
      <c r="H68" s="178"/>
      <c r="I68" s="197">
        <f t="shared" si="16"/>
        <v>5551261</v>
      </c>
      <c r="J68" s="173"/>
      <c r="K68" s="178"/>
    </row>
    <row r="69" spans="1:12" s="150" customFormat="1" x14ac:dyDescent="0.2">
      <c r="A69" s="7" t="s">
        <v>11</v>
      </c>
      <c r="C69" s="14">
        <v>1247</v>
      </c>
      <c r="D69" s="14">
        <v>1346</v>
      </c>
      <c r="E69" s="195">
        <f>D69-C69</f>
        <v>99</v>
      </c>
      <c r="F69" s="193">
        <f>ROUND(E69*$F$55,0)</f>
        <v>1240575</v>
      </c>
      <c r="G69" s="239">
        <f t="shared" si="15"/>
        <v>7.9390537289494786E-2</v>
      </c>
      <c r="H69" s="178"/>
      <c r="I69" s="176">
        <f t="shared" si="16"/>
        <v>1240575</v>
      </c>
      <c r="J69" s="173"/>
      <c r="K69" s="178"/>
    </row>
    <row r="70" spans="1:12" s="150" customFormat="1" ht="15.75" thickBot="1" x14ac:dyDescent="0.25">
      <c r="A70" s="77" t="s">
        <v>33</v>
      </c>
      <c r="C70" s="198">
        <f>SUM(C68:C69)</f>
        <v>6853</v>
      </c>
      <c r="D70" s="15">
        <f t="shared" ref="D70" si="18">D69+D68</f>
        <v>7395</v>
      </c>
      <c r="E70" s="199">
        <f>SUM(E68:E69)</f>
        <v>542</v>
      </c>
      <c r="F70" s="200">
        <f>SUM(F68:F69)</f>
        <v>6791836</v>
      </c>
      <c r="G70" s="242">
        <f t="shared" si="15"/>
        <v>7.9089449875966736E-2</v>
      </c>
      <c r="H70" s="178"/>
      <c r="I70" s="200">
        <f t="shared" si="16"/>
        <v>6791836</v>
      </c>
      <c r="J70" s="173"/>
      <c r="K70" s="178"/>
    </row>
    <row r="71" spans="1:12" s="150" customFormat="1" ht="15.75" thickTop="1" x14ac:dyDescent="0.2">
      <c r="A71" s="23"/>
      <c r="C71" s="19"/>
      <c r="D71" s="19"/>
      <c r="E71" s="207">
        <f>E70/C70</f>
        <v>7.9089449875966736E-2</v>
      </c>
      <c r="F71" s="210" t="s">
        <v>89</v>
      </c>
      <c r="G71" s="217"/>
      <c r="H71" s="178"/>
      <c r="I71" s="178"/>
      <c r="J71" s="173"/>
      <c r="K71" s="178"/>
    </row>
    <row r="72" spans="1:12" s="150" customFormat="1" x14ac:dyDescent="0.2">
      <c r="A72" s="177"/>
      <c r="H72" s="173"/>
      <c r="I72" s="156"/>
    </row>
    <row r="73" spans="1:12" s="150" customFormat="1" ht="31.5" x14ac:dyDescent="0.25">
      <c r="A73" s="177"/>
      <c r="C73" s="309" t="str">
        <f>D53</f>
        <v>Residents Projected</v>
      </c>
      <c r="D73" s="244" t="s">
        <v>127</v>
      </c>
      <c r="E73" s="179"/>
      <c r="F73" s="244" t="s">
        <v>162</v>
      </c>
      <c r="G73" s="156"/>
    </row>
    <row r="74" spans="1:12" s="150" customFormat="1" ht="15.75" x14ac:dyDescent="0.25">
      <c r="A74" s="177"/>
      <c r="C74" s="55" t="str">
        <f>D54</f>
        <v>FY 18-19</v>
      </c>
      <c r="D74" s="216" t="s">
        <v>106</v>
      </c>
      <c r="F74" s="216"/>
      <c r="G74" s="179" t="s">
        <v>19</v>
      </c>
      <c r="H74" s="179" t="s">
        <v>64</v>
      </c>
      <c r="I74" s="179" t="s">
        <v>76</v>
      </c>
    </row>
    <row r="75" spans="1:12" s="150" customFormat="1" ht="15.75" x14ac:dyDescent="0.25">
      <c r="A75" s="180"/>
      <c r="C75" s="59" t="s">
        <v>119</v>
      </c>
      <c r="D75" s="215">
        <f>F55</f>
        <v>12531.064461047088</v>
      </c>
      <c r="E75" s="169"/>
      <c r="F75" s="215">
        <v>11647.278718180643</v>
      </c>
      <c r="G75" s="171" t="s">
        <v>77</v>
      </c>
      <c r="H75" s="173"/>
      <c r="I75" s="171" t="s">
        <v>78</v>
      </c>
      <c r="J75" s="171" t="s">
        <v>79</v>
      </c>
    </row>
    <row r="76" spans="1:12" s="150" customFormat="1" x14ac:dyDescent="0.2">
      <c r="A76" s="174" t="s">
        <v>68</v>
      </c>
      <c r="C76" s="10">
        <f t="shared" ref="C76:C87" si="19">D56</f>
        <v>1509</v>
      </c>
      <c r="D76" s="181">
        <f>ROUND(C76*$D$75,0)</f>
        <v>18909376</v>
      </c>
      <c r="E76" s="182"/>
      <c r="F76" s="69">
        <v>15153110</v>
      </c>
      <c r="G76" s="159">
        <f t="shared" ref="G76:G87" si="20">F76-D76</f>
        <v>-3756266</v>
      </c>
      <c r="H76" s="255">
        <v>0</v>
      </c>
      <c r="I76" s="176">
        <f t="shared" ref="I76:I87" si="21">G76+H76</f>
        <v>-3756266</v>
      </c>
      <c r="J76" s="183">
        <f t="shared" ref="J76:J89" si="22">I76/2</f>
        <v>-1878133</v>
      </c>
    </row>
    <row r="77" spans="1:12" s="150" customFormat="1" x14ac:dyDescent="0.2">
      <c r="A77" s="174" t="s">
        <v>69</v>
      </c>
      <c r="C77" s="10">
        <f t="shared" si="19"/>
        <v>591</v>
      </c>
      <c r="D77" s="184">
        <f t="shared" ref="D77:D87" si="23">ROUND(C77*$D$75,0)</f>
        <v>7405859</v>
      </c>
      <c r="E77" s="185"/>
      <c r="F77" s="70">
        <v>6650596</v>
      </c>
      <c r="G77" s="163">
        <f t="shared" si="20"/>
        <v>-755263</v>
      </c>
      <c r="H77" s="255">
        <v>-1</v>
      </c>
      <c r="I77" s="176">
        <f t="shared" si="21"/>
        <v>-755264</v>
      </c>
      <c r="J77" s="183">
        <f t="shared" si="22"/>
        <v>-377632</v>
      </c>
    </row>
    <row r="78" spans="1:12" s="150" customFormat="1" x14ac:dyDescent="0.2">
      <c r="A78" s="174" t="s">
        <v>70</v>
      </c>
      <c r="C78" s="10">
        <f t="shared" si="19"/>
        <v>987</v>
      </c>
      <c r="D78" s="184">
        <f t="shared" si="23"/>
        <v>12368161</v>
      </c>
      <c r="E78" s="185"/>
      <c r="F78" s="70">
        <v>11391038</v>
      </c>
      <c r="G78" s="163">
        <f t="shared" si="20"/>
        <v>-977123</v>
      </c>
      <c r="H78" s="255">
        <v>0</v>
      </c>
      <c r="I78" s="176">
        <f t="shared" si="21"/>
        <v>-977123</v>
      </c>
      <c r="J78" s="183">
        <f t="shared" si="22"/>
        <v>-488561.5</v>
      </c>
    </row>
    <row r="79" spans="1:12" s="150" customFormat="1" x14ac:dyDescent="0.2">
      <c r="A79" s="174" t="s">
        <v>71</v>
      </c>
      <c r="C79" s="10">
        <f t="shared" si="19"/>
        <v>776</v>
      </c>
      <c r="D79" s="184">
        <f t="shared" si="23"/>
        <v>9724106</v>
      </c>
      <c r="E79" s="185"/>
      <c r="F79" s="70">
        <v>8735460</v>
      </c>
      <c r="G79" s="163">
        <f t="shared" si="20"/>
        <v>-988646</v>
      </c>
      <c r="H79" s="255">
        <v>-1</v>
      </c>
      <c r="I79" s="176">
        <f t="shared" si="21"/>
        <v>-988647</v>
      </c>
      <c r="J79" s="183">
        <f t="shared" si="22"/>
        <v>-494323.5</v>
      </c>
    </row>
    <row r="80" spans="1:12" s="150" customFormat="1" x14ac:dyDescent="0.2">
      <c r="A80" s="174" t="s">
        <v>72</v>
      </c>
      <c r="C80" s="10">
        <f t="shared" si="19"/>
        <v>146</v>
      </c>
      <c r="D80" s="184">
        <f t="shared" si="23"/>
        <v>1829535</v>
      </c>
      <c r="E80" s="185"/>
      <c r="F80" s="70">
        <v>1572382</v>
      </c>
      <c r="G80" s="163">
        <f t="shared" si="20"/>
        <v>-257153</v>
      </c>
      <c r="H80" s="255">
        <v>-1</v>
      </c>
      <c r="I80" s="176">
        <f t="shared" si="21"/>
        <v>-257154</v>
      </c>
      <c r="J80" s="183">
        <f t="shared" si="22"/>
        <v>-128577</v>
      </c>
    </row>
    <row r="81" spans="1:10" s="150" customFormat="1" x14ac:dyDescent="0.2">
      <c r="A81" s="174" t="s">
        <v>73</v>
      </c>
      <c r="C81" s="10">
        <f t="shared" si="19"/>
        <v>90</v>
      </c>
      <c r="D81" s="184">
        <f t="shared" si="23"/>
        <v>1127796</v>
      </c>
      <c r="E81" s="185"/>
      <c r="F81" s="70">
        <v>850252</v>
      </c>
      <c r="G81" s="163">
        <f t="shared" si="20"/>
        <v>-277544</v>
      </c>
      <c r="H81" s="255">
        <v>1</v>
      </c>
      <c r="I81" s="176">
        <f t="shared" si="21"/>
        <v>-277543</v>
      </c>
      <c r="J81" s="183">
        <f t="shared" si="22"/>
        <v>-138771.5</v>
      </c>
    </row>
    <row r="82" spans="1:10" s="150" customFormat="1" x14ac:dyDescent="0.2">
      <c r="A82" s="174" t="s">
        <v>74</v>
      </c>
      <c r="C82" s="10">
        <f t="shared" si="19"/>
        <v>672</v>
      </c>
      <c r="D82" s="184">
        <f t="shared" si="23"/>
        <v>8420875</v>
      </c>
      <c r="E82" s="185"/>
      <c r="F82" s="70">
        <v>13138130</v>
      </c>
      <c r="G82" s="163">
        <f t="shared" si="20"/>
        <v>4717255</v>
      </c>
      <c r="H82" s="255">
        <v>-1</v>
      </c>
      <c r="I82" s="176">
        <f t="shared" si="21"/>
        <v>4717254</v>
      </c>
      <c r="J82" s="183">
        <f t="shared" si="22"/>
        <v>2358627</v>
      </c>
    </row>
    <row r="83" spans="1:10" s="150" customFormat="1" x14ac:dyDescent="0.2">
      <c r="A83" s="283" t="s">
        <v>168</v>
      </c>
      <c r="C83" s="10">
        <f t="shared" si="19"/>
        <v>263</v>
      </c>
      <c r="D83" s="184">
        <f t="shared" si="23"/>
        <v>3295670</v>
      </c>
      <c r="E83" s="185"/>
      <c r="F83" s="70">
        <v>4810326</v>
      </c>
      <c r="G83" s="163">
        <f t="shared" si="20"/>
        <v>1514656</v>
      </c>
      <c r="H83" s="255">
        <v>0</v>
      </c>
      <c r="I83" s="176">
        <f t="shared" si="21"/>
        <v>1514656</v>
      </c>
      <c r="J83" s="183">
        <f t="shared" si="22"/>
        <v>757328</v>
      </c>
    </row>
    <row r="84" spans="1:10" s="150" customFormat="1" x14ac:dyDescent="0.2">
      <c r="A84" s="174" t="s">
        <v>75</v>
      </c>
      <c r="C84" s="10">
        <f t="shared" si="19"/>
        <v>445</v>
      </c>
      <c r="D84" s="184">
        <f t="shared" si="23"/>
        <v>5576324</v>
      </c>
      <c r="E84" s="185"/>
      <c r="F84" s="70">
        <v>5276218</v>
      </c>
      <c r="G84" s="163">
        <f t="shared" si="20"/>
        <v>-300106</v>
      </c>
      <c r="H84" s="255">
        <v>1</v>
      </c>
      <c r="I84" s="176">
        <f t="shared" si="21"/>
        <v>-300105</v>
      </c>
      <c r="J84" s="183">
        <f t="shared" si="22"/>
        <v>-150052.5</v>
      </c>
    </row>
    <row r="85" spans="1:10" s="150" customFormat="1" x14ac:dyDescent="0.2">
      <c r="A85" s="283" t="s">
        <v>123</v>
      </c>
      <c r="C85" s="10">
        <f t="shared" si="19"/>
        <v>251</v>
      </c>
      <c r="D85" s="184">
        <f t="shared" si="23"/>
        <v>3145297</v>
      </c>
      <c r="E85" s="185"/>
      <c r="F85" s="70">
        <v>2876878</v>
      </c>
      <c r="G85" s="163">
        <f t="shared" si="20"/>
        <v>-268419</v>
      </c>
      <c r="H85" s="255">
        <v>0</v>
      </c>
      <c r="I85" s="176">
        <f t="shared" si="21"/>
        <v>-268419</v>
      </c>
      <c r="J85" s="183">
        <f t="shared" si="22"/>
        <v>-134209.5</v>
      </c>
    </row>
    <row r="86" spans="1:10" s="150" customFormat="1" x14ac:dyDescent="0.2">
      <c r="A86" s="9" t="s">
        <v>156</v>
      </c>
      <c r="C86" s="10">
        <f t="shared" si="19"/>
        <v>278</v>
      </c>
      <c r="D86" s="184">
        <f t="shared" si="23"/>
        <v>3483636</v>
      </c>
      <c r="E86" s="185"/>
      <c r="F86" s="70">
        <v>3109824</v>
      </c>
      <c r="G86" s="163">
        <f t="shared" si="20"/>
        <v>-373812</v>
      </c>
      <c r="H86" s="255">
        <v>1</v>
      </c>
      <c r="I86" s="176">
        <f t="shared" si="21"/>
        <v>-373811</v>
      </c>
      <c r="J86" s="183">
        <f t="shared" si="22"/>
        <v>-186905.5</v>
      </c>
    </row>
    <row r="87" spans="1:10" s="150" customFormat="1" x14ac:dyDescent="0.2">
      <c r="A87" s="9" t="s">
        <v>157</v>
      </c>
      <c r="C87" s="10">
        <f t="shared" si="19"/>
        <v>41</v>
      </c>
      <c r="D87" s="184">
        <f t="shared" si="23"/>
        <v>513774</v>
      </c>
      <c r="E87" s="185"/>
      <c r="F87" s="70">
        <v>1153080</v>
      </c>
      <c r="G87" s="163">
        <f t="shared" si="20"/>
        <v>639306</v>
      </c>
      <c r="H87" s="255">
        <v>1</v>
      </c>
      <c r="I87" s="176">
        <f t="shared" si="21"/>
        <v>639307</v>
      </c>
      <c r="J87" s="183">
        <f t="shared" si="22"/>
        <v>319653.5</v>
      </c>
    </row>
    <row r="88" spans="1:10" s="150" customFormat="1" x14ac:dyDescent="0.2">
      <c r="A88" s="76" t="s">
        <v>34</v>
      </c>
      <c r="C88" s="13">
        <f t="shared" ref="C88:J88" si="24">SUM(C76:C87)</f>
        <v>6049</v>
      </c>
      <c r="D88" s="186">
        <f t="shared" si="24"/>
        <v>75800409</v>
      </c>
      <c r="E88" s="187">
        <f t="shared" si="24"/>
        <v>0</v>
      </c>
      <c r="F88" s="166">
        <f t="shared" si="24"/>
        <v>74717294</v>
      </c>
      <c r="G88" s="164">
        <f t="shared" si="24"/>
        <v>-1083115</v>
      </c>
      <c r="H88" s="164">
        <f t="shared" si="24"/>
        <v>0</v>
      </c>
      <c r="I88" s="164">
        <f t="shared" si="24"/>
        <v>-1083115</v>
      </c>
      <c r="J88" s="164">
        <f t="shared" si="24"/>
        <v>-541557.5</v>
      </c>
    </row>
    <row r="89" spans="1:10" s="150" customFormat="1" x14ac:dyDescent="0.2">
      <c r="A89" s="7" t="s">
        <v>11</v>
      </c>
      <c r="C89" s="14">
        <f>D69</f>
        <v>1346</v>
      </c>
      <c r="D89" s="184">
        <f>ROUND(C89*$D$75,0)</f>
        <v>16866813</v>
      </c>
      <c r="F89" s="70">
        <v>15420998</v>
      </c>
      <c r="G89" s="163">
        <f>F89-D89</f>
        <v>-1445815</v>
      </c>
      <c r="H89" s="257">
        <v>0</v>
      </c>
      <c r="I89" s="176">
        <f>G89+H89</f>
        <v>-1445815</v>
      </c>
      <c r="J89" s="183">
        <f t="shared" si="22"/>
        <v>-722907.5</v>
      </c>
    </row>
    <row r="90" spans="1:10" s="150" customFormat="1" ht="15.75" thickBot="1" x14ac:dyDescent="0.25">
      <c r="A90" s="77" t="s">
        <v>33</v>
      </c>
      <c r="C90" s="198">
        <f>SUM(C88:C89)</f>
        <v>7395</v>
      </c>
      <c r="D90" s="203">
        <f>SUM(D88:D89)</f>
        <v>92667222</v>
      </c>
      <c r="E90" s="201"/>
      <c r="F90" s="202">
        <f>SUM(F88:F89)</f>
        <v>90138292</v>
      </c>
      <c r="G90" s="202">
        <f>SUM(G88:G89)</f>
        <v>-2528930</v>
      </c>
      <c r="H90" s="202">
        <f>SUM(H88:H89)</f>
        <v>0</v>
      </c>
      <c r="I90" s="202">
        <f>SUM(I88:I89)</f>
        <v>-2528930</v>
      </c>
      <c r="J90" s="202">
        <f>SUM(J88:J89)</f>
        <v>-1264465</v>
      </c>
    </row>
    <row r="91" spans="1:10" s="150" customFormat="1" ht="15.75" thickTop="1" x14ac:dyDescent="0.2">
      <c r="A91" s="23"/>
      <c r="I91" s="173"/>
      <c r="J91" s="173"/>
    </row>
    <row r="92" spans="1:10" s="150" customFormat="1" x14ac:dyDescent="0.2">
      <c r="A92" s="23"/>
      <c r="F92" s="214" t="s">
        <v>90</v>
      </c>
      <c r="I92" s="173"/>
      <c r="J92" s="173"/>
    </row>
    <row r="93" spans="1:10" s="150" customFormat="1" x14ac:dyDescent="0.2"/>
    <row r="94" spans="1:10" s="189" customFormat="1" x14ac:dyDescent="0.2">
      <c r="B94" s="190"/>
      <c r="C94" s="191"/>
      <c r="D94" s="191"/>
      <c r="E94" s="191"/>
      <c r="F94" s="190"/>
      <c r="G94" s="191"/>
    </row>
    <row r="95" spans="1:10" x14ac:dyDescent="0.2">
      <c r="A95" s="7" t="s">
        <v>87</v>
      </c>
      <c r="B95" s="19"/>
      <c r="C95" s="205" t="s">
        <v>17</v>
      </c>
      <c r="D95" s="25"/>
      <c r="E95" s="25"/>
      <c r="F95" s="19"/>
      <c r="G95" s="25"/>
    </row>
    <row r="96" spans="1:10" x14ac:dyDescent="0.2">
      <c r="A96" s="7"/>
      <c r="B96" s="19"/>
      <c r="C96" s="205" t="s">
        <v>84</v>
      </c>
      <c r="D96" s="205" t="s">
        <v>28</v>
      </c>
      <c r="E96" s="25"/>
      <c r="F96" s="19"/>
      <c r="G96" s="25"/>
      <c r="I96" s="221" t="s">
        <v>96</v>
      </c>
    </row>
    <row r="97" spans="1:10" x14ac:dyDescent="0.2">
      <c r="A97" s="7"/>
      <c r="B97" s="19"/>
      <c r="C97" s="205" t="s">
        <v>85</v>
      </c>
      <c r="D97" s="25"/>
      <c r="E97" s="25"/>
      <c r="F97" s="19"/>
      <c r="G97" s="25"/>
    </row>
    <row r="98" spans="1:10" x14ac:dyDescent="0.2">
      <c r="A98" s="7" t="s">
        <v>94</v>
      </c>
      <c r="B98" s="19"/>
      <c r="C98" s="118">
        <v>25000000.162111551</v>
      </c>
      <c r="D98" s="239"/>
      <c r="E98" s="25"/>
      <c r="F98" s="19"/>
      <c r="G98" s="25"/>
      <c r="I98" s="258">
        <v>4679.8951703481798</v>
      </c>
    </row>
    <row r="99" spans="1:10" x14ac:dyDescent="0.2">
      <c r="A99" s="7" t="s">
        <v>86</v>
      </c>
      <c r="B99" s="19"/>
      <c r="C99" s="25">
        <v>62785588</v>
      </c>
      <c r="D99" s="239">
        <f t="shared" ref="D99:D104" si="25">(C99-C98)/C98</f>
        <v>1.5114235037147696</v>
      </c>
      <c r="E99" s="25"/>
      <c r="F99" s="19"/>
      <c r="G99" s="25"/>
      <c r="I99" s="258">
        <v>11268.052266198081</v>
      </c>
    </row>
    <row r="100" spans="1:10" x14ac:dyDescent="0.2">
      <c r="A100" s="7" t="s">
        <v>83</v>
      </c>
      <c r="B100" s="19"/>
      <c r="C100" s="25">
        <v>79093878</v>
      </c>
      <c r="D100" s="239">
        <f t="shared" si="25"/>
        <v>0.25974575566609331</v>
      </c>
      <c r="E100" s="25"/>
      <c r="F100" s="19"/>
      <c r="G100" s="25"/>
      <c r="I100" s="258">
        <v>13306.506729475101</v>
      </c>
    </row>
    <row r="101" spans="1:10" x14ac:dyDescent="0.2">
      <c r="A101" s="7" t="s">
        <v>109</v>
      </c>
      <c r="B101" s="19"/>
      <c r="C101" s="25">
        <v>74150511</v>
      </c>
      <c r="D101" s="239">
        <f t="shared" si="25"/>
        <v>-6.2499995258798666E-2</v>
      </c>
      <c r="E101" s="25"/>
      <c r="F101" s="19"/>
      <c r="G101" s="25"/>
      <c r="I101" s="258">
        <v>12474.850437415882</v>
      </c>
    </row>
    <row r="102" spans="1:10" x14ac:dyDescent="0.2">
      <c r="A102" s="7" t="s">
        <v>120</v>
      </c>
      <c r="B102" s="19"/>
      <c r="C102" s="25">
        <v>53920836</v>
      </c>
      <c r="D102" s="239">
        <f t="shared" si="25"/>
        <v>-0.27281909088933992</v>
      </c>
      <c r="E102" s="25"/>
      <c r="F102" s="19"/>
      <c r="G102" s="25"/>
      <c r="I102" s="258">
        <v>8871.4771306350794</v>
      </c>
    </row>
    <row r="103" spans="1:10" x14ac:dyDescent="0.2">
      <c r="A103" s="7" t="s">
        <v>121</v>
      </c>
      <c r="B103" s="19"/>
      <c r="C103" s="25">
        <v>56916442</v>
      </c>
      <c r="D103" s="239">
        <f t="shared" si="25"/>
        <v>5.555562973838165E-2</v>
      </c>
      <c r="E103" s="25"/>
      <c r="F103" s="19"/>
      <c r="G103" s="25"/>
      <c r="I103" s="279">
        <v>9364.3369531725002</v>
      </c>
    </row>
    <row r="104" spans="1:10" x14ac:dyDescent="0.2">
      <c r="A104" s="7" t="s">
        <v>111</v>
      </c>
      <c r="B104" s="19"/>
      <c r="C104" s="25">
        <v>65682982</v>
      </c>
      <c r="D104" s="239">
        <f t="shared" si="25"/>
        <v>0.15402473682385134</v>
      </c>
      <c r="E104" s="25"/>
      <c r="F104" s="19"/>
      <c r="G104" s="25"/>
      <c r="I104" s="279">
        <v>10243.7588353382</v>
      </c>
    </row>
    <row r="105" spans="1:10" x14ac:dyDescent="0.2">
      <c r="A105" s="7" t="s">
        <v>129</v>
      </c>
      <c r="B105" s="19"/>
      <c r="C105" s="25">
        <v>85875386</v>
      </c>
      <c r="D105" s="239">
        <v>0.30742215692947678</v>
      </c>
      <c r="E105" s="25"/>
      <c r="F105" s="19"/>
      <c r="G105" s="25"/>
      <c r="I105" s="279">
        <v>12531.064461047088</v>
      </c>
      <c r="J105" s="1">
        <f>(I105*0.023)+I105</f>
        <v>12819.27894365117</v>
      </c>
    </row>
    <row r="106" spans="1:10" x14ac:dyDescent="0.2">
      <c r="A106" s="7" t="s">
        <v>159</v>
      </c>
      <c r="B106" s="19"/>
      <c r="C106" s="25">
        <v>90138292</v>
      </c>
      <c r="D106" s="239">
        <v>-1.7189907563727239E-2</v>
      </c>
      <c r="E106" s="25"/>
      <c r="F106" s="19"/>
      <c r="G106" s="25"/>
      <c r="I106" s="279">
        <v>11647.278718180643</v>
      </c>
    </row>
    <row r="107" spans="1:10" x14ac:dyDescent="0.2">
      <c r="A107" s="7"/>
      <c r="B107" s="19"/>
      <c r="C107" s="25"/>
      <c r="D107" s="25"/>
      <c r="E107" s="25"/>
      <c r="F107" s="19"/>
      <c r="G107" s="25"/>
    </row>
    <row r="108" spans="1:10" x14ac:dyDescent="0.2">
      <c r="A108" s="7"/>
      <c r="B108" s="19"/>
      <c r="C108" s="25"/>
      <c r="D108" s="25"/>
      <c r="E108" s="25"/>
      <c r="F108" s="19"/>
      <c r="G108" s="25"/>
    </row>
    <row r="109" spans="1:10" x14ac:dyDescent="0.2">
      <c r="A109" s="7"/>
      <c r="B109" s="19"/>
      <c r="C109" s="25"/>
      <c r="D109" s="25"/>
      <c r="E109" s="25"/>
      <c r="F109" s="19"/>
      <c r="G109" s="25"/>
    </row>
    <row r="110" spans="1:10" x14ac:dyDescent="0.2">
      <c r="A110" s="7"/>
      <c r="B110" s="19"/>
      <c r="C110" s="25"/>
      <c r="D110" s="25"/>
      <c r="E110" s="25"/>
      <c r="F110" s="19"/>
      <c r="G110" s="25"/>
    </row>
    <row r="111" spans="1:10" x14ac:dyDescent="0.2">
      <c r="A111" s="7"/>
      <c r="B111" s="19"/>
      <c r="C111" s="25"/>
      <c r="D111" s="25"/>
      <c r="E111" s="25"/>
      <c r="F111" s="19"/>
      <c r="G111" s="25"/>
    </row>
    <row r="112" spans="1:10" x14ac:dyDescent="0.2">
      <c r="A112" s="7"/>
      <c r="B112" s="19"/>
      <c r="C112" s="25"/>
      <c r="D112" s="25"/>
      <c r="E112" s="25"/>
      <c r="F112" s="19"/>
      <c r="G112" s="25"/>
    </row>
    <row r="113" spans="1:7" x14ac:dyDescent="0.2">
      <c r="A113" s="7"/>
      <c r="B113" s="19"/>
      <c r="C113" s="25"/>
      <c r="D113" s="25"/>
      <c r="E113" s="25"/>
      <c r="F113" s="19"/>
      <c r="G113" s="25"/>
    </row>
    <row r="114" spans="1:7" x14ac:dyDescent="0.2">
      <c r="A114" s="7"/>
      <c r="B114" s="19"/>
      <c r="C114" s="25"/>
      <c r="D114" s="25"/>
      <c r="E114" s="25"/>
      <c r="F114" s="19"/>
      <c r="G114" s="25"/>
    </row>
    <row r="115" spans="1:7" x14ac:dyDescent="0.2">
      <c r="A115" s="7"/>
      <c r="B115" s="19"/>
      <c r="C115" s="25"/>
      <c r="D115" s="25"/>
      <c r="E115" s="25"/>
      <c r="F115" s="19"/>
      <c r="G115" s="25"/>
    </row>
    <row r="116" spans="1:7" x14ac:dyDescent="0.2">
      <c r="A116" s="7"/>
      <c r="B116" s="19"/>
      <c r="C116" s="25"/>
      <c r="D116" s="25"/>
      <c r="E116" s="25"/>
      <c r="F116" s="19"/>
      <c r="G116" s="25"/>
    </row>
    <row r="117" spans="1:7" x14ac:dyDescent="0.2">
      <c r="A117" s="7"/>
      <c r="B117" s="19"/>
      <c r="C117" s="25"/>
      <c r="D117" s="25"/>
      <c r="E117" s="25"/>
      <c r="F117" s="19"/>
      <c r="G117" s="25"/>
    </row>
    <row r="118" spans="1:7" x14ac:dyDescent="0.2">
      <c r="A118" s="7"/>
      <c r="B118" s="19"/>
      <c r="C118" s="25"/>
      <c r="D118" s="25"/>
      <c r="E118" s="25"/>
      <c r="F118" s="19"/>
      <c r="G118" s="25"/>
    </row>
    <row r="119" spans="1:7" x14ac:dyDescent="0.2">
      <c r="A119" s="7"/>
      <c r="B119" s="19"/>
      <c r="C119" s="25"/>
      <c r="D119" s="25"/>
      <c r="E119" s="25"/>
      <c r="F119" s="19"/>
      <c r="G119" s="25"/>
    </row>
    <row r="120" spans="1:7" x14ac:dyDescent="0.2">
      <c r="A120" s="7"/>
      <c r="B120" s="19"/>
      <c r="C120" s="25"/>
      <c r="D120" s="25"/>
      <c r="E120" s="25"/>
      <c r="F120" s="19"/>
      <c r="G120" s="25"/>
    </row>
    <row r="121" spans="1:7" x14ac:dyDescent="0.2">
      <c r="A121" s="7"/>
      <c r="B121" s="19"/>
      <c r="C121" s="25"/>
      <c r="D121" s="25"/>
      <c r="E121" s="25"/>
      <c r="F121" s="19"/>
      <c r="G121" s="25"/>
    </row>
    <row r="122" spans="1:7" x14ac:dyDescent="0.2">
      <c r="A122" s="7"/>
      <c r="B122" s="19"/>
      <c r="C122" s="25"/>
      <c r="D122" s="25"/>
      <c r="E122" s="25"/>
      <c r="F122" s="19"/>
      <c r="G122" s="25"/>
    </row>
    <row r="123" spans="1:7" x14ac:dyDescent="0.2">
      <c r="A123" s="7"/>
      <c r="B123" s="19"/>
      <c r="C123" s="25"/>
      <c r="D123" s="25"/>
      <c r="E123" s="25"/>
      <c r="F123" s="19"/>
      <c r="G123" s="25"/>
    </row>
    <row r="124" spans="1:7" x14ac:dyDescent="0.2">
      <c r="A124" s="7"/>
      <c r="B124" s="19"/>
      <c r="C124" s="25"/>
      <c r="D124" s="25"/>
      <c r="E124" s="25"/>
      <c r="F124" s="19"/>
      <c r="G124" s="25"/>
    </row>
    <row r="125" spans="1:7" x14ac:dyDescent="0.2">
      <c r="A125" s="7"/>
      <c r="B125" s="19"/>
      <c r="C125" s="25"/>
      <c r="D125" s="25"/>
      <c r="E125" s="25"/>
      <c r="F125" s="19"/>
      <c r="G125" s="25"/>
    </row>
    <row r="126" spans="1:7" x14ac:dyDescent="0.2">
      <c r="A126" s="7"/>
      <c r="B126" s="19"/>
      <c r="C126" s="25"/>
      <c r="D126" s="25"/>
      <c r="E126" s="25"/>
      <c r="F126" s="19"/>
      <c r="G126" s="25"/>
    </row>
    <row r="127" spans="1:7" x14ac:dyDescent="0.2">
      <c r="A127" s="7"/>
      <c r="B127" s="19"/>
      <c r="C127" s="25"/>
      <c r="D127" s="25"/>
      <c r="E127" s="25"/>
      <c r="F127" s="19"/>
      <c r="G127" s="25"/>
    </row>
    <row r="128" spans="1:7" x14ac:dyDescent="0.2">
      <c r="A128" s="7"/>
      <c r="B128" s="19"/>
      <c r="C128" s="25"/>
      <c r="D128" s="25"/>
      <c r="E128" s="25"/>
      <c r="F128" s="19"/>
      <c r="G128" s="25"/>
    </row>
    <row r="129" spans="1:7" x14ac:dyDescent="0.2">
      <c r="A129" s="7"/>
      <c r="B129" s="19"/>
      <c r="C129" s="25"/>
      <c r="D129" s="25"/>
      <c r="E129" s="25"/>
      <c r="F129" s="19"/>
      <c r="G129" s="25"/>
    </row>
    <row r="130" spans="1:7" x14ac:dyDescent="0.2">
      <c r="A130" s="7"/>
      <c r="B130" s="19"/>
      <c r="C130" s="25"/>
      <c r="D130" s="25"/>
      <c r="E130" s="25"/>
      <c r="F130" s="19"/>
      <c r="G130" s="25"/>
    </row>
    <row r="131" spans="1:7" x14ac:dyDescent="0.2">
      <c r="A131" s="7"/>
      <c r="B131" s="19"/>
      <c r="C131" s="25"/>
      <c r="D131" s="25"/>
      <c r="E131" s="25"/>
      <c r="F131" s="19"/>
      <c r="G131" s="25"/>
    </row>
    <row r="132" spans="1:7" x14ac:dyDescent="0.2">
      <c r="A132" s="7"/>
      <c r="B132" s="19"/>
      <c r="C132" s="25"/>
      <c r="D132" s="25"/>
      <c r="E132" s="25"/>
      <c r="F132" s="19"/>
      <c r="G132" s="25"/>
    </row>
    <row r="133" spans="1:7" x14ac:dyDescent="0.2">
      <c r="A133" s="7"/>
      <c r="B133" s="19"/>
      <c r="C133" s="25"/>
      <c r="D133" s="25"/>
      <c r="E133" s="25"/>
      <c r="F133" s="19"/>
      <c r="G133" s="25"/>
    </row>
    <row r="134" spans="1:7" x14ac:dyDescent="0.2">
      <c r="A134" s="7"/>
      <c r="B134" s="19"/>
      <c r="C134" s="25"/>
      <c r="D134" s="25"/>
      <c r="E134" s="25"/>
      <c r="F134" s="19"/>
      <c r="G134" s="25"/>
    </row>
    <row r="135" spans="1:7" x14ac:dyDescent="0.2">
      <c r="A135" s="7"/>
      <c r="B135" s="19"/>
      <c r="C135" s="25"/>
      <c r="D135" s="25"/>
      <c r="E135" s="25"/>
      <c r="F135" s="19"/>
      <c r="G135" s="25"/>
    </row>
    <row r="136" spans="1:7" x14ac:dyDescent="0.2">
      <c r="A136" s="7"/>
      <c r="B136" s="19"/>
      <c r="C136" s="25"/>
      <c r="D136" s="25"/>
      <c r="E136" s="25"/>
      <c r="F136" s="19"/>
      <c r="G136" s="25"/>
    </row>
    <row r="137" spans="1:7" x14ac:dyDescent="0.2">
      <c r="A137" s="7"/>
      <c r="B137" s="19"/>
      <c r="C137" s="25"/>
      <c r="D137" s="25"/>
      <c r="E137" s="25"/>
      <c r="F137" s="19"/>
      <c r="G137" s="25"/>
    </row>
    <row r="138" spans="1:7" x14ac:dyDescent="0.2">
      <c r="A138" s="7"/>
      <c r="B138" s="19"/>
      <c r="C138" s="25"/>
      <c r="D138" s="25"/>
      <c r="E138" s="25"/>
      <c r="F138" s="19"/>
      <c r="G138" s="25"/>
    </row>
    <row r="139" spans="1:7" x14ac:dyDescent="0.2">
      <c r="A139" s="7"/>
      <c r="B139" s="19"/>
      <c r="C139" s="25"/>
      <c r="D139" s="25"/>
      <c r="E139" s="25"/>
      <c r="F139" s="19"/>
      <c r="G139" s="25"/>
    </row>
    <row r="140" spans="1:7" x14ac:dyDescent="0.2">
      <c r="A140" s="7"/>
      <c r="B140" s="19"/>
      <c r="C140" s="25"/>
      <c r="D140" s="25"/>
      <c r="E140" s="25"/>
      <c r="F140" s="19"/>
      <c r="G140" s="25"/>
    </row>
    <row r="141" spans="1:7" x14ac:dyDescent="0.2">
      <c r="A141" s="7"/>
      <c r="B141" s="19"/>
      <c r="C141" s="25"/>
      <c r="D141" s="25"/>
      <c r="E141" s="25"/>
      <c r="F141" s="19"/>
      <c r="G141" s="25"/>
    </row>
    <row r="142" spans="1:7" x14ac:dyDescent="0.2">
      <c r="A142" s="7"/>
      <c r="B142" s="19"/>
      <c r="C142" s="25"/>
      <c r="D142" s="25"/>
      <c r="E142" s="25"/>
      <c r="F142" s="19"/>
      <c r="G142" s="25"/>
    </row>
    <row r="143" spans="1:7" x14ac:dyDescent="0.2">
      <c r="A143" s="7"/>
      <c r="B143" s="19"/>
      <c r="C143" s="25"/>
      <c r="D143" s="25"/>
      <c r="E143" s="25"/>
      <c r="F143" s="19"/>
      <c r="G143" s="25"/>
    </row>
    <row r="144" spans="1:7" x14ac:dyDescent="0.2">
      <c r="A144" s="7"/>
      <c r="B144" s="19"/>
      <c r="C144" s="25"/>
      <c r="D144" s="25"/>
      <c r="E144" s="25"/>
      <c r="F144" s="19"/>
      <c r="G144" s="25"/>
    </row>
    <row r="145" spans="1:10" x14ac:dyDescent="0.2">
      <c r="A145" s="7"/>
      <c r="B145" s="19"/>
      <c r="C145" s="25"/>
      <c r="D145" s="25"/>
      <c r="E145" s="25"/>
      <c r="F145" s="19"/>
      <c r="G145" s="25"/>
    </row>
    <row r="146" spans="1:10" x14ac:dyDescent="0.2">
      <c r="A146" s="7"/>
      <c r="B146" s="19"/>
      <c r="C146" s="25"/>
      <c r="D146" s="25"/>
      <c r="E146" s="25"/>
      <c r="F146" s="19"/>
      <c r="G146" s="25"/>
    </row>
    <row r="147" spans="1:10" x14ac:dyDescent="0.2">
      <c r="A147" s="7"/>
      <c r="B147" s="19"/>
      <c r="C147" s="25"/>
      <c r="D147" s="25"/>
      <c r="E147" s="25"/>
      <c r="F147" s="19"/>
      <c r="G147" s="25"/>
    </row>
    <row r="148" spans="1:10" x14ac:dyDescent="0.2">
      <c r="A148" s="7"/>
      <c r="B148" s="19"/>
      <c r="C148" s="25"/>
      <c r="D148" s="25"/>
      <c r="E148" s="25"/>
      <c r="F148" s="19"/>
      <c r="G148" s="25"/>
    </row>
    <row r="149" spans="1:10" x14ac:dyDescent="0.2">
      <c r="A149" s="7"/>
      <c r="B149" s="19"/>
      <c r="C149" s="25"/>
      <c r="D149" s="25"/>
      <c r="E149" s="25"/>
      <c r="F149" s="19"/>
      <c r="G149" s="25"/>
    </row>
    <row r="150" spans="1:10" x14ac:dyDescent="0.2">
      <c r="A150" s="7"/>
      <c r="B150" s="19"/>
      <c r="C150" s="25"/>
      <c r="D150" s="25"/>
      <c r="E150" s="25"/>
      <c r="F150" s="19"/>
      <c r="G150" s="25"/>
    </row>
    <row r="151" spans="1:10" ht="15.75" x14ac:dyDescent="0.25">
      <c r="C151" s="37"/>
      <c r="D151" s="38" t="s">
        <v>32</v>
      </c>
      <c r="E151" s="39"/>
      <c r="F151" s="39"/>
      <c r="G151" s="46" t="s">
        <v>17</v>
      </c>
    </row>
    <row r="152" spans="1:10" x14ac:dyDescent="0.2">
      <c r="A152" s="19"/>
      <c r="B152" s="42"/>
      <c r="C152" s="27" t="s">
        <v>14</v>
      </c>
      <c r="D152" s="19"/>
      <c r="E152" s="25">
        <v>12500000</v>
      </c>
      <c r="F152" s="19"/>
      <c r="G152" s="28">
        <f>E152*2</f>
        <v>25000000</v>
      </c>
    </row>
    <row r="153" spans="1:10" x14ac:dyDescent="0.2">
      <c r="A153" s="23"/>
      <c r="B153" s="43"/>
      <c r="C153" s="27" t="s">
        <v>16</v>
      </c>
      <c r="D153" s="19"/>
      <c r="E153" s="19">
        <f>E152*0.07554726612</f>
        <v>944340.82649999997</v>
      </c>
      <c r="F153" s="19"/>
      <c r="G153" s="30">
        <f>E153*2</f>
        <v>1888681.6529999999</v>
      </c>
    </row>
    <row r="154" spans="1:10" x14ac:dyDescent="0.2">
      <c r="A154" s="23"/>
      <c r="B154" s="44"/>
      <c r="C154" s="29"/>
      <c r="D154" s="19"/>
      <c r="E154" s="19"/>
      <c r="F154" s="19"/>
      <c r="G154" s="30"/>
    </row>
    <row r="155" spans="1:10" x14ac:dyDescent="0.2">
      <c r="A155" s="23"/>
      <c r="B155" s="25"/>
      <c r="C155" s="27"/>
      <c r="D155" s="19"/>
      <c r="E155" s="45"/>
      <c r="F155" s="19"/>
      <c r="G155" s="30"/>
    </row>
    <row r="156" spans="1:10" x14ac:dyDescent="0.2">
      <c r="A156" s="19"/>
      <c r="B156" s="19"/>
      <c r="C156" s="27" t="s">
        <v>13</v>
      </c>
      <c r="D156" s="19"/>
      <c r="E156" s="41">
        <f>ROUND(SUM(E152:E155),0)</f>
        <v>13444341</v>
      </c>
      <c r="F156" s="19"/>
      <c r="G156" s="41">
        <f>ROUND(SUM(G152:G155),0)</f>
        <v>26888682</v>
      </c>
    </row>
    <row r="157" spans="1:10" x14ac:dyDescent="0.2">
      <c r="C157" s="29"/>
      <c r="D157" s="19"/>
      <c r="E157" s="19"/>
      <c r="F157" s="19"/>
      <c r="G157" s="30"/>
      <c r="I157" s="310">
        <v>13444341</v>
      </c>
      <c r="J157" s="311"/>
    </row>
    <row r="158" spans="1:10" ht="15.75" x14ac:dyDescent="0.25">
      <c r="C158" s="74" t="s">
        <v>40</v>
      </c>
      <c r="D158" s="18"/>
      <c r="E158" s="75">
        <f>E156/B176</f>
        <v>2516.7242605765632</v>
      </c>
      <c r="F158" s="19"/>
      <c r="G158" s="30"/>
      <c r="I158" s="310">
        <v>2516.7242605765632</v>
      </c>
      <c r="J158" s="311"/>
    </row>
    <row r="159" spans="1:10" ht="15.75" x14ac:dyDescent="0.25">
      <c r="C159" s="74" t="s">
        <v>39</v>
      </c>
      <c r="D159" s="19"/>
      <c r="E159" s="19"/>
      <c r="F159" s="19"/>
      <c r="G159" s="30"/>
      <c r="I159" s="317"/>
      <c r="J159" s="318"/>
    </row>
    <row r="160" spans="1:10" x14ac:dyDescent="0.2">
      <c r="C160" s="31"/>
      <c r="D160" s="14"/>
      <c r="E160" s="317">
        <v>2516.7242605765632</v>
      </c>
      <c r="F160" s="319"/>
      <c r="G160" s="32"/>
      <c r="I160" s="310"/>
    </row>
    <row r="161" spans="1:8" x14ac:dyDescent="0.2">
      <c r="C161" s="19"/>
      <c r="D161" s="19"/>
      <c r="E161" s="248"/>
      <c r="F161" s="249"/>
      <c r="G161" s="19"/>
      <c r="H161" s="19"/>
    </row>
    <row r="162" spans="1:8" ht="29.25" customHeight="1" x14ac:dyDescent="0.25">
      <c r="B162" s="79" t="s">
        <v>41</v>
      </c>
      <c r="C162" s="53" t="s">
        <v>24</v>
      </c>
      <c r="D162" s="54"/>
      <c r="E162" s="53" t="s">
        <v>18</v>
      </c>
      <c r="F162" s="54"/>
      <c r="G162" s="46" t="s">
        <v>19</v>
      </c>
      <c r="H162" s="60" t="s">
        <v>28</v>
      </c>
    </row>
    <row r="163" spans="1:8" ht="15.75" x14ac:dyDescent="0.25">
      <c r="B163" s="56" t="s">
        <v>36</v>
      </c>
      <c r="C163" s="34" t="s">
        <v>31</v>
      </c>
      <c r="D163" s="56" t="s">
        <v>22</v>
      </c>
      <c r="E163" s="34" t="s">
        <v>31</v>
      </c>
      <c r="F163" s="56" t="s">
        <v>26</v>
      </c>
      <c r="G163" s="34" t="s">
        <v>20</v>
      </c>
      <c r="H163" s="55" t="s">
        <v>29</v>
      </c>
    </row>
    <row r="164" spans="1:8" ht="15.75" x14ac:dyDescent="0.25">
      <c r="B164" s="57" t="s">
        <v>37</v>
      </c>
      <c r="C164" s="58" t="s">
        <v>17</v>
      </c>
      <c r="D164" s="57" t="s">
        <v>23</v>
      </c>
      <c r="E164" s="58" t="s">
        <v>17</v>
      </c>
      <c r="F164" s="57" t="s">
        <v>27</v>
      </c>
      <c r="G164" s="58" t="s">
        <v>21</v>
      </c>
      <c r="H164" s="59" t="s">
        <v>30</v>
      </c>
    </row>
    <row r="165" spans="1:8" x14ac:dyDescent="0.2">
      <c r="A165" s="9" t="s">
        <v>0</v>
      </c>
      <c r="B165" s="47">
        <v>1128</v>
      </c>
      <c r="C165" s="28">
        <f t="shared" ref="C165:C173" si="26">ROUND(B165*$C$6+B165*$D$6,0)</f>
        <v>13138130</v>
      </c>
      <c r="D165" s="10">
        <v>1175</v>
      </c>
      <c r="E165" s="28">
        <f t="shared" ref="E165:E172" si="27">E9</f>
        <v>15153110</v>
      </c>
      <c r="F165" s="29">
        <f t="shared" ref="F165:F173" si="28">D165-B165</f>
        <v>47</v>
      </c>
      <c r="G165" s="98">
        <f t="shared" ref="G165:G173" si="29">E165-C165+G182</f>
        <v>2014980.1239236267</v>
      </c>
      <c r="H165" s="51">
        <f t="shared" ref="H165:H176" si="30">(D165-B165)/B165</f>
        <v>4.1666666666666664E-2</v>
      </c>
    </row>
    <row r="166" spans="1:8" x14ac:dyDescent="0.2">
      <c r="A166" s="9" t="s">
        <v>1</v>
      </c>
      <c r="B166" s="47">
        <v>555</v>
      </c>
      <c r="C166" s="50">
        <f t="shared" si="26"/>
        <v>6464240</v>
      </c>
      <c r="D166" s="10">
        <v>603</v>
      </c>
      <c r="E166" s="50">
        <f t="shared" si="27"/>
        <v>6650596</v>
      </c>
      <c r="F166" s="29">
        <f t="shared" si="28"/>
        <v>48</v>
      </c>
      <c r="G166" s="97">
        <f t="shared" si="29"/>
        <v>186356.18045676034</v>
      </c>
      <c r="H166" s="51">
        <f t="shared" si="30"/>
        <v>8.6486486486486491E-2</v>
      </c>
    </row>
    <row r="167" spans="1:8" x14ac:dyDescent="0.2">
      <c r="A167" s="9" t="s">
        <v>2</v>
      </c>
      <c r="B167" s="47">
        <v>756</v>
      </c>
      <c r="C167" s="50">
        <f t="shared" si="26"/>
        <v>8805343</v>
      </c>
      <c r="D167" s="10">
        <v>766</v>
      </c>
      <c r="E167" s="50">
        <f t="shared" si="27"/>
        <v>11391038</v>
      </c>
      <c r="F167" s="29">
        <f t="shared" si="28"/>
        <v>10</v>
      </c>
      <c r="G167" s="97">
        <f t="shared" si="29"/>
        <v>2585695.2512167762</v>
      </c>
      <c r="H167" s="51">
        <f t="shared" si="30"/>
        <v>1.3227513227513227E-2</v>
      </c>
    </row>
    <row r="168" spans="1:8" x14ac:dyDescent="0.2">
      <c r="A168" s="9" t="s">
        <v>3</v>
      </c>
      <c r="B168" s="47">
        <v>637</v>
      </c>
      <c r="C168" s="50">
        <f t="shared" si="26"/>
        <v>7419317</v>
      </c>
      <c r="D168" s="10">
        <v>669</v>
      </c>
      <c r="E168" s="50">
        <f t="shared" si="27"/>
        <v>8735460</v>
      </c>
      <c r="F168" s="29">
        <f t="shared" si="28"/>
        <v>32</v>
      </c>
      <c r="G168" s="97">
        <f t="shared" si="29"/>
        <v>1316142.7764882096</v>
      </c>
      <c r="H168" s="51">
        <f t="shared" si="30"/>
        <v>5.0235478806907381E-2</v>
      </c>
    </row>
    <row r="169" spans="1:8" x14ac:dyDescent="0.2">
      <c r="A169" s="9" t="s">
        <v>7</v>
      </c>
      <c r="B169" s="47">
        <v>100</v>
      </c>
      <c r="C169" s="50">
        <f t="shared" si="26"/>
        <v>1164728</v>
      </c>
      <c r="D169" s="10">
        <v>107</v>
      </c>
      <c r="E169" s="50">
        <f t="shared" si="27"/>
        <v>1572382</v>
      </c>
      <c r="F169" s="29">
        <f t="shared" si="28"/>
        <v>7</v>
      </c>
      <c r="G169" s="97">
        <f t="shared" si="29"/>
        <v>407654.48296518205</v>
      </c>
      <c r="H169" s="51">
        <f t="shared" si="30"/>
        <v>7.0000000000000007E-2</v>
      </c>
    </row>
    <row r="170" spans="1:8" x14ac:dyDescent="0.2">
      <c r="A170" s="9" t="s">
        <v>8</v>
      </c>
      <c r="B170" s="47">
        <v>23</v>
      </c>
      <c r="C170" s="50">
        <f t="shared" si="26"/>
        <v>267887</v>
      </c>
      <c r="D170" s="10">
        <v>24</v>
      </c>
      <c r="E170" s="50">
        <f t="shared" si="27"/>
        <v>850252</v>
      </c>
      <c r="F170" s="29">
        <f t="shared" si="28"/>
        <v>1</v>
      </c>
      <c r="G170" s="97">
        <f t="shared" si="29"/>
        <v>582365.41108199186</v>
      </c>
      <c r="H170" s="51">
        <f t="shared" si="30"/>
        <v>4.3478260869565216E-2</v>
      </c>
    </row>
    <row r="171" spans="1:8" x14ac:dyDescent="0.2">
      <c r="A171" s="9" t="s">
        <v>4</v>
      </c>
      <c r="B171" s="47">
        <v>425</v>
      </c>
      <c r="C171" s="50">
        <f t="shared" si="26"/>
        <v>4950093</v>
      </c>
      <c r="D171" s="10">
        <v>475</v>
      </c>
      <c r="E171" s="50">
        <f t="shared" si="27"/>
        <v>13138130</v>
      </c>
      <c r="F171" s="29">
        <f t="shared" si="28"/>
        <v>50</v>
      </c>
      <c r="G171" s="97">
        <f t="shared" si="29"/>
        <v>8188036.5526020238</v>
      </c>
      <c r="H171" s="51">
        <f t="shared" si="30"/>
        <v>0.11764705882352941</v>
      </c>
    </row>
    <row r="172" spans="1:8" x14ac:dyDescent="0.2">
      <c r="A172" s="9" t="s">
        <v>5</v>
      </c>
      <c r="B172" s="47">
        <v>123</v>
      </c>
      <c r="C172" s="50">
        <f t="shared" si="26"/>
        <v>1432615</v>
      </c>
      <c r="D172" s="10">
        <v>141</v>
      </c>
      <c r="E172" s="50">
        <f t="shared" si="27"/>
        <v>4810326</v>
      </c>
      <c r="F172" s="29">
        <f t="shared" si="28"/>
        <v>18</v>
      </c>
      <c r="G172" s="97">
        <f t="shared" si="29"/>
        <v>3377710.8940471737</v>
      </c>
      <c r="H172" s="51">
        <f t="shared" si="30"/>
        <v>0.14634146341463414</v>
      </c>
    </row>
    <row r="173" spans="1:8" x14ac:dyDescent="0.2">
      <c r="A173" s="9" t="s">
        <v>6</v>
      </c>
      <c r="B173" s="47">
        <v>469</v>
      </c>
      <c r="C173" s="50">
        <f t="shared" si="26"/>
        <v>5462574</v>
      </c>
      <c r="D173" s="10">
        <v>473</v>
      </c>
      <c r="E173" s="50">
        <f>E20</f>
        <v>1153080</v>
      </c>
      <c r="F173" s="29">
        <f t="shared" si="28"/>
        <v>4</v>
      </c>
      <c r="G173" s="97">
        <f t="shared" si="29"/>
        <v>-4309493.8348932965</v>
      </c>
      <c r="H173" s="51">
        <f t="shared" si="30"/>
        <v>8.5287846481876331E-3</v>
      </c>
    </row>
    <row r="174" spans="1:8" x14ac:dyDescent="0.2">
      <c r="A174" s="12" t="s">
        <v>33</v>
      </c>
      <c r="B174" s="48">
        <f t="shared" ref="B174:G174" si="31">SUM(B165:B173)</f>
        <v>4216</v>
      </c>
      <c r="C174" s="41">
        <f t="shared" si="31"/>
        <v>49104927</v>
      </c>
      <c r="D174" s="48">
        <f t="shared" si="31"/>
        <v>4433</v>
      </c>
      <c r="E174" s="41">
        <f t="shared" si="31"/>
        <v>63454374</v>
      </c>
      <c r="F174" s="48">
        <f t="shared" si="31"/>
        <v>217</v>
      </c>
      <c r="G174" s="99">
        <f t="shared" si="31"/>
        <v>14349447.837888449</v>
      </c>
      <c r="H174" s="52">
        <f t="shared" si="30"/>
        <v>5.1470588235294115E-2</v>
      </c>
    </row>
    <row r="175" spans="1:8" x14ac:dyDescent="0.2">
      <c r="A175" s="7" t="s">
        <v>11</v>
      </c>
      <c r="B175" s="31">
        <v>1126</v>
      </c>
      <c r="C175" s="50">
        <f>ROUND(B175*$C$6+B175*$D$6,0)</f>
        <v>13114836</v>
      </c>
      <c r="D175" s="31">
        <v>1139</v>
      </c>
      <c r="E175" s="50">
        <f>E22</f>
        <v>15420998</v>
      </c>
      <c r="F175" s="29">
        <f>D175-B175</f>
        <v>13</v>
      </c>
      <c r="G175" s="97">
        <f>E175-C175+G194</f>
        <v>2306162</v>
      </c>
      <c r="H175" s="51">
        <f t="shared" si="30"/>
        <v>1.1545293072824156E-2</v>
      </c>
    </row>
    <row r="176" spans="1:8" x14ac:dyDescent="0.2">
      <c r="A176" s="7" t="s">
        <v>12</v>
      </c>
      <c r="B176" s="49">
        <f t="shared" ref="B176:G176" si="32">SUM(B174:B175)</f>
        <v>5342</v>
      </c>
      <c r="C176" s="41">
        <f t="shared" si="32"/>
        <v>62219763</v>
      </c>
      <c r="D176" s="49">
        <f t="shared" si="32"/>
        <v>5572</v>
      </c>
      <c r="E176" s="41">
        <f t="shared" si="32"/>
        <v>78875372</v>
      </c>
      <c r="F176" s="49">
        <f t="shared" si="32"/>
        <v>230</v>
      </c>
      <c r="G176" s="99">
        <f t="shared" si="32"/>
        <v>16655609.837888449</v>
      </c>
      <c r="H176" s="52">
        <f t="shared" si="30"/>
        <v>4.3055035567203297E-2</v>
      </c>
    </row>
    <row r="178" spans="1:8" x14ac:dyDescent="0.2">
      <c r="A178" s="7" t="s">
        <v>38</v>
      </c>
      <c r="C178" s="80">
        <f>E6</f>
        <v>11647.278718180643</v>
      </c>
      <c r="E178" s="80">
        <f>E6</f>
        <v>11647.278718180643</v>
      </c>
    </row>
    <row r="180" spans="1:8" x14ac:dyDescent="0.2">
      <c r="B180" s="7"/>
      <c r="C180" s="8" t="s">
        <v>36</v>
      </c>
      <c r="D180" s="7"/>
      <c r="E180" s="8" t="s">
        <v>36</v>
      </c>
      <c r="F180" s="7"/>
      <c r="G180" s="8" t="s">
        <v>44</v>
      </c>
      <c r="H180" s="7"/>
    </row>
    <row r="181" spans="1:8" ht="15.75" thickBot="1" x14ac:dyDescent="0.25">
      <c r="B181" s="7"/>
      <c r="C181" s="92" t="s">
        <v>42</v>
      </c>
      <c r="D181" s="93"/>
      <c r="E181" s="92" t="s">
        <v>43</v>
      </c>
      <c r="F181" s="93"/>
      <c r="G181" s="92" t="s">
        <v>45</v>
      </c>
      <c r="H181" s="7"/>
    </row>
    <row r="182" spans="1:8" x14ac:dyDescent="0.2">
      <c r="A182" s="9" t="s">
        <v>0</v>
      </c>
      <c r="B182" s="7"/>
      <c r="C182" s="85">
        <v>5278921.8760763733</v>
      </c>
      <c r="D182" s="7"/>
      <c r="E182" s="7">
        <f t="shared" ref="E182:E190" si="33">ROUND(C182,0)</f>
        <v>5278922</v>
      </c>
      <c r="F182" s="7"/>
      <c r="G182" s="94">
        <f t="shared" ref="G182:G190" si="34">E182-C182</f>
        <v>0.12392362672835588</v>
      </c>
      <c r="H182" s="7"/>
    </row>
    <row r="183" spans="1:8" x14ac:dyDescent="0.2">
      <c r="A183" s="9" t="s">
        <v>1</v>
      </c>
      <c r="B183" s="7"/>
      <c r="C183" s="86">
        <v>2597341.8195432397</v>
      </c>
      <c r="D183" s="7"/>
      <c r="E183" s="7">
        <f t="shared" si="33"/>
        <v>2597342</v>
      </c>
      <c r="F183" s="7"/>
      <c r="G183" s="94">
        <f t="shared" si="34"/>
        <v>0.18045676033943892</v>
      </c>
      <c r="H183" s="7"/>
    </row>
    <row r="184" spans="1:8" x14ac:dyDescent="0.2">
      <c r="A184" s="9" t="s">
        <v>2</v>
      </c>
      <c r="B184" s="7"/>
      <c r="C184" s="86">
        <v>3538000.7487832238</v>
      </c>
      <c r="D184" s="7"/>
      <c r="E184" s="7">
        <f t="shared" si="33"/>
        <v>3538001</v>
      </c>
      <c r="F184" s="7"/>
      <c r="G184" s="94">
        <f t="shared" si="34"/>
        <v>0.25121677620336413</v>
      </c>
      <c r="H184" s="7"/>
    </row>
    <row r="185" spans="1:8" x14ac:dyDescent="0.2">
      <c r="A185" s="9" t="s">
        <v>3</v>
      </c>
      <c r="B185" s="7"/>
      <c r="C185" s="86">
        <v>2981093.2235117904</v>
      </c>
      <c r="D185" s="7"/>
      <c r="E185" s="7">
        <f t="shared" si="33"/>
        <v>2981093</v>
      </c>
      <c r="F185" s="7"/>
      <c r="G185" s="94">
        <f t="shared" si="34"/>
        <v>-0.22351179039105773</v>
      </c>
      <c r="H185" s="7"/>
    </row>
    <row r="186" spans="1:8" x14ac:dyDescent="0.2">
      <c r="A186" s="9" t="s">
        <v>7</v>
      </c>
      <c r="B186" s="7"/>
      <c r="C186" s="86">
        <v>467989.51703481795</v>
      </c>
      <c r="D186" s="7"/>
      <c r="E186" s="7">
        <f t="shared" si="33"/>
        <v>467990</v>
      </c>
      <c r="F186" s="7"/>
      <c r="G186" s="94">
        <f t="shared" si="34"/>
        <v>0.48296518204733729</v>
      </c>
      <c r="H186" s="7"/>
    </row>
    <row r="187" spans="1:8" x14ac:dyDescent="0.2">
      <c r="A187" s="9" t="s">
        <v>8</v>
      </c>
      <c r="B187" s="7"/>
      <c r="C187" s="86">
        <v>107637.58891800814</v>
      </c>
      <c r="D187" s="7"/>
      <c r="E187" s="7">
        <f t="shared" si="33"/>
        <v>107638</v>
      </c>
      <c r="F187" s="7"/>
      <c r="G187" s="94">
        <f t="shared" si="34"/>
        <v>0.41108199185691774</v>
      </c>
      <c r="H187" s="7"/>
    </row>
    <row r="188" spans="1:8" x14ac:dyDescent="0.2">
      <c r="A188" s="9" t="s">
        <v>4</v>
      </c>
      <c r="B188" s="7"/>
      <c r="C188" s="86">
        <v>1988955.4473979764</v>
      </c>
      <c r="D188" s="7"/>
      <c r="E188" s="7">
        <f t="shared" si="33"/>
        <v>1988955</v>
      </c>
      <c r="F188" s="7"/>
      <c r="G188" s="94">
        <f t="shared" si="34"/>
        <v>-0.44739797641523182</v>
      </c>
      <c r="H188" s="7"/>
    </row>
    <row r="189" spans="1:8" x14ac:dyDescent="0.2">
      <c r="A189" s="9" t="s">
        <v>5</v>
      </c>
      <c r="B189" s="7"/>
      <c r="C189" s="86">
        <v>575627.1059528261</v>
      </c>
      <c r="D189" s="7"/>
      <c r="E189" s="7">
        <f t="shared" si="33"/>
        <v>575627</v>
      </c>
      <c r="F189" s="7"/>
      <c r="G189" s="94">
        <f t="shared" si="34"/>
        <v>-0.10595282609574497</v>
      </c>
      <c r="H189" s="7"/>
    </row>
    <row r="190" spans="1:8" x14ac:dyDescent="0.2">
      <c r="A190" s="9" t="s">
        <v>6</v>
      </c>
      <c r="B190" s="7"/>
      <c r="C190" s="86">
        <v>2194870.8348932965</v>
      </c>
      <c r="D190" s="7"/>
      <c r="E190" s="7">
        <f t="shared" si="33"/>
        <v>2194871</v>
      </c>
      <c r="F190" s="7"/>
      <c r="G190" s="94">
        <f t="shared" si="34"/>
        <v>0.16510670352727175</v>
      </c>
      <c r="H190" s="7"/>
    </row>
    <row r="191" spans="1:8" x14ac:dyDescent="0.2">
      <c r="A191" s="7"/>
      <c r="B191" s="7"/>
      <c r="C191" s="87">
        <f>SUM(C182:C190)</f>
        <v>19730438.162111551</v>
      </c>
      <c r="D191" s="7"/>
      <c r="E191" s="87">
        <f>SUM(E182:E190)</f>
        <v>19730439</v>
      </c>
      <c r="F191" s="7"/>
      <c r="G191" s="95">
        <f>SUM(G182:G190)</f>
        <v>0.83788844780065119</v>
      </c>
      <c r="H191" s="7"/>
    </row>
    <row r="192" spans="1:8" x14ac:dyDescent="0.2">
      <c r="A192" s="12" t="s">
        <v>33</v>
      </c>
      <c r="B192" s="7"/>
      <c r="C192" s="88"/>
      <c r="D192" s="7"/>
      <c r="E192" s="7"/>
      <c r="F192" s="7"/>
      <c r="G192" s="94"/>
      <c r="H192" s="7"/>
    </row>
    <row r="193" spans="1:8" x14ac:dyDescent="0.2">
      <c r="A193" s="7"/>
      <c r="B193" s="7"/>
      <c r="C193" s="89">
        <v>5269562</v>
      </c>
      <c r="D193" s="7"/>
      <c r="E193" s="7">
        <f>ROUND(C193,0)</f>
        <v>5269562</v>
      </c>
      <c r="F193" s="7"/>
      <c r="G193" s="94">
        <f>E193-C193</f>
        <v>0</v>
      </c>
      <c r="H193" s="7"/>
    </row>
    <row r="194" spans="1:8" x14ac:dyDescent="0.2">
      <c r="A194" s="7" t="s">
        <v>11</v>
      </c>
      <c r="B194" s="7"/>
      <c r="C194" s="90"/>
      <c r="D194" s="7"/>
      <c r="E194" s="7"/>
      <c r="F194" s="7"/>
      <c r="G194" s="94"/>
      <c r="H194" s="7"/>
    </row>
    <row r="195" spans="1:8" x14ac:dyDescent="0.2">
      <c r="A195" s="7" t="s">
        <v>12</v>
      </c>
      <c r="B195" s="7"/>
      <c r="C195" s="91">
        <f>C193+C191</f>
        <v>25000000.162111551</v>
      </c>
      <c r="D195" s="7"/>
      <c r="E195" s="91">
        <f>E193+E191</f>
        <v>25000001</v>
      </c>
      <c r="F195" s="7"/>
      <c r="G195" s="96">
        <f>G193+G191</f>
        <v>0.83788844780065119</v>
      </c>
      <c r="H195" s="7"/>
    </row>
    <row r="196" spans="1:8" ht="18" x14ac:dyDescent="0.25">
      <c r="B196" s="84"/>
      <c r="C196" s="84"/>
      <c r="D196" s="84"/>
      <c r="E196" s="84"/>
      <c r="F196" s="84"/>
      <c r="G196" s="84"/>
      <c r="H196" s="84"/>
    </row>
    <row r="197" spans="1:8" x14ac:dyDescent="0.2">
      <c r="A197" s="105"/>
      <c r="B197" s="105"/>
      <c r="C197" s="105"/>
      <c r="D197" s="105"/>
      <c r="E197" s="105"/>
      <c r="F197" s="105"/>
      <c r="G197" s="105"/>
    </row>
    <row r="198" spans="1:8" ht="15.75" x14ac:dyDescent="0.25">
      <c r="A198" s="144"/>
      <c r="B198" s="105"/>
      <c r="C198" s="105"/>
      <c r="D198" s="105"/>
      <c r="E198" s="114"/>
      <c r="F198" s="105"/>
      <c r="G198" s="105"/>
    </row>
    <row r="199" spans="1:8" x14ac:dyDescent="0.2">
      <c r="A199" s="145"/>
      <c r="B199" s="105"/>
      <c r="C199" s="119"/>
      <c r="D199" s="105"/>
      <c r="E199" s="105"/>
      <c r="F199" s="105"/>
      <c r="G199" s="105"/>
    </row>
    <row r="200" spans="1:8" x14ac:dyDescent="0.2">
      <c r="A200" s="145"/>
      <c r="B200" s="105"/>
      <c r="C200" s="119"/>
      <c r="D200" s="105"/>
      <c r="E200" s="105"/>
      <c r="F200" s="105"/>
      <c r="G200" s="105"/>
    </row>
    <row r="201" spans="1:8" x14ac:dyDescent="0.2">
      <c r="A201" s="145"/>
      <c r="B201" s="105"/>
      <c r="C201" s="119"/>
      <c r="D201" s="105"/>
      <c r="E201" s="105"/>
      <c r="F201" s="105"/>
      <c r="G201" s="105"/>
    </row>
    <row r="202" spans="1:8" x14ac:dyDescent="0.2">
      <c r="A202" s="145"/>
      <c r="B202" s="105"/>
      <c r="C202" s="119"/>
      <c r="D202" s="105"/>
      <c r="E202" s="105"/>
      <c r="F202" s="105"/>
      <c r="G202" s="105"/>
    </row>
    <row r="203" spans="1:8" x14ac:dyDescent="0.2">
      <c r="A203" s="145"/>
      <c r="B203" s="105"/>
      <c r="C203" s="119"/>
      <c r="D203" s="105"/>
      <c r="E203" s="105"/>
      <c r="F203" s="105"/>
      <c r="G203" s="105"/>
    </row>
    <row r="204" spans="1:8" x14ac:dyDescent="0.2">
      <c r="A204" s="145"/>
      <c r="B204" s="105"/>
      <c r="C204" s="119"/>
      <c r="D204" s="105"/>
      <c r="E204" s="105"/>
      <c r="F204" s="105"/>
      <c r="G204" s="105"/>
    </row>
    <row r="205" spans="1:8" x14ac:dyDescent="0.2">
      <c r="A205" s="145"/>
      <c r="B205" s="105"/>
      <c r="C205" s="119"/>
      <c r="D205" s="105"/>
      <c r="E205" s="105"/>
      <c r="F205" s="105"/>
      <c r="G205" s="105"/>
    </row>
    <row r="206" spans="1:8" x14ac:dyDescent="0.2">
      <c r="A206" s="145"/>
      <c r="B206" s="105"/>
      <c r="C206" s="119"/>
      <c r="D206" s="105"/>
      <c r="E206" s="105"/>
      <c r="F206" s="105"/>
      <c r="G206" s="105"/>
    </row>
    <row r="207" spans="1:8" x14ac:dyDescent="0.2">
      <c r="A207" s="145"/>
      <c r="B207" s="105"/>
      <c r="C207" s="119"/>
      <c r="D207" s="105"/>
      <c r="E207" s="105"/>
      <c r="F207" s="105"/>
      <c r="G207" s="105"/>
    </row>
    <row r="208" spans="1:8" x14ac:dyDescent="0.2">
      <c r="A208" s="146"/>
      <c r="B208" s="105"/>
      <c r="C208" s="111"/>
      <c r="D208" s="105"/>
      <c r="E208" s="111"/>
      <c r="F208" s="105"/>
      <c r="G208" s="105"/>
    </row>
    <row r="209" spans="1:7" x14ac:dyDescent="0.2">
      <c r="A209" s="106"/>
      <c r="B209" s="105"/>
      <c r="C209" s="105"/>
      <c r="D209" s="105"/>
      <c r="E209" s="105"/>
      <c r="F209" s="105"/>
      <c r="G209" s="105"/>
    </row>
    <row r="210" spans="1:7" x14ac:dyDescent="0.2">
      <c r="A210" s="106"/>
      <c r="B210" s="105"/>
      <c r="C210" s="105"/>
      <c r="D210" s="105"/>
      <c r="E210" s="105"/>
      <c r="F210" s="105"/>
      <c r="G210" s="105"/>
    </row>
    <row r="211" spans="1:7" x14ac:dyDescent="0.2">
      <c r="A211" s="105"/>
      <c r="B211" s="105"/>
      <c r="C211" s="105"/>
      <c r="D211" s="105"/>
      <c r="E211" s="105"/>
      <c r="F211" s="105"/>
      <c r="G211" s="105"/>
    </row>
    <row r="212" spans="1:7" x14ac:dyDescent="0.2">
      <c r="A212" s="105"/>
      <c r="B212" s="105"/>
      <c r="C212" s="105"/>
      <c r="D212" s="105"/>
      <c r="E212" s="105"/>
      <c r="F212" s="105"/>
      <c r="G212" s="105"/>
    </row>
  </sheetData>
  <mergeCells count="4">
    <mergeCell ref="G7:G8"/>
    <mergeCell ref="C32:E32"/>
    <mergeCell ref="I159:J159"/>
    <mergeCell ref="E160:F160"/>
  </mergeCells>
  <printOptions horizontalCentered="1"/>
  <pageMargins left="0.25" right="0.25" top="0.5" bottom="0.25" header="0.5" footer="0.5"/>
  <pageSetup scale="65" orientation="landscape" horizontalDpi="1200" verticalDpi="1200" r:id="rId1"/>
  <headerFooter alignWithMargins="0">
    <oddFooter>&amp;R&amp;8&amp;D</oddFooter>
  </headerFooter>
  <rowBreaks count="2" manualBreakCount="2">
    <brk id="71" max="7" man="1"/>
    <brk id="17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U151"/>
  <sheetViews>
    <sheetView showGridLines="0" zoomScale="75" zoomScaleNormal="75" workbookViewId="0">
      <pane xSplit="2" ySplit="25" topLeftCell="I26" activePane="bottomRight" state="frozen"/>
      <selection activeCell="I53" sqref="I53"/>
      <selection pane="topRight" activeCell="I53" sqref="I53"/>
      <selection pane="bottomLeft" activeCell="I53" sqref="I53"/>
      <selection pane="bottomRight" activeCell="B13" sqref="B13"/>
    </sheetView>
  </sheetViews>
  <sheetFormatPr defaultColWidth="12.42578125" defaultRowHeight="15" x14ac:dyDescent="0.2"/>
  <cols>
    <col min="1" max="1" width="12.42578125" style="1"/>
    <col min="2" max="2" width="37.7109375" style="1" customWidth="1"/>
    <col min="3" max="3" width="20.42578125" style="1" customWidth="1"/>
    <col min="4" max="4" width="20.28515625" style="1" customWidth="1"/>
    <col min="5" max="5" width="19.7109375" style="1" customWidth="1"/>
    <col min="6" max="8" width="19" style="1" customWidth="1"/>
    <col min="9" max="9" width="19.28515625" style="1" customWidth="1"/>
    <col min="10" max="10" width="18" style="1" customWidth="1"/>
    <col min="11" max="14" width="21.7109375" style="1" customWidth="1"/>
    <col min="15" max="17" width="22.28515625" style="1" customWidth="1"/>
    <col min="18" max="18" width="22.7109375" style="1" customWidth="1"/>
    <col min="19" max="19" width="12.42578125" style="1"/>
    <col min="20" max="20" width="21.7109375" style="1" customWidth="1"/>
    <col min="21" max="16384" width="12.42578125" style="1"/>
  </cols>
  <sheetData>
    <row r="1" spans="1:21" ht="16.5" customHeight="1" x14ac:dyDescent="0.3">
      <c r="B1" s="7"/>
      <c r="C1" s="2"/>
      <c r="D1" s="2"/>
      <c r="E1" s="5" t="s">
        <v>53</v>
      </c>
      <c r="F1" s="2"/>
      <c r="G1" s="2"/>
      <c r="H1" s="2"/>
      <c r="I1" s="2"/>
      <c r="J1" s="2"/>
      <c r="T1" s="10"/>
    </row>
    <row r="2" spans="1:21" ht="17.25" customHeight="1" x14ac:dyDescent="0.3">
      <c r="B2" s="81"/>
      <c r="C2" s="82"/>
      <c r="D2" s="82"/>
      <c r="E2" s="83"/>
      <c r="F2" s="2"/>
      <c r="G2" s="2"/>
      <c r="H2" s="2"/>
      <c r="K2" s="221"/>
      <c r="L2" s="221"/>
      <c r="M2" s="221"/>
      <c r="N2" s="221"/>
      <c r="O2" s="221"/>
      <c r="P2" s="221"/>
      <c r="Q2" s="221"/>
      <c r="R2" s="221" t="s">
        <v>107</v>
      </c>
      <c r="T2" s="10"/>
    </row>
    <row r="3" spans="1:21" ht="17.25" customHeight="1" x14ac:dyDescent="0.25">
      <c r="B3" s="81" t="s">
        <v>133</v>
      </c>
      <c r="C3" s="245">
        <v>2003</v>
      </c>
      <c r="D3" s="245">
        <v>2004</v>
      </c>
      <c r="E3" s="245">
        <v>2005</v>
      </c>
      <c r="F3" s="245">
        <v>2006</v>
      </c>
      <c r="G3" s="245">
        <v>2007</v>
      </c>
      <c r="H3" s="245">
        <v>2008</v>
      </c>
      <c r="I3" s="245">
        <v>2009</v>
      </c>
      <c r="J3" s="245">
        <v>2010</v>
      </c>
      <c r="K3" s="245">
        <v>2011</v>
      </c>
      <c r="L3" s="245">
        <v>2012</v>
      </c>
      <c r="M3" s="245">
        <v>2013</v>
      </c>
      <c r="N3" s="245">
        <v>2014</v>
      </c>
      <c r="O3" s="245">
        <v>2015</v>
      </c>
      <c r="P3" s="245">
        <v>2016</v>
      </c>
      <c r="Q3" s="245">
        <v>2017</v>
      </c>
      <c r="R3" s="246">
        <v>2018</v>
      </c>
      <c r="T3" s="10"/>
    </row>
    <row r="4" spans="1:21" ht="18" x14ac:dyDescent="0.25">
      <c r="B4" s="35" t="s">
        <v>54</v>
      </c>
      <c r="C4" s="122"/>
      <c r="D4" s="122"/>
      <c r="E4" s="122"/>
      <c r="F4" s="122" t="s">
        <v>36</v>
      </c>
      <c r="G4" s="122" t="s">
        <v>48</v>
      </c>
      <c r="H4" s="122"/>
      <c r="I4" s="122" t="s">
        <v>52</v>
      </c>
      <c r="J4" s="122"/>
      <c r="K4" s="250" t="s">
        <v>98</v>
      </c>
      <c r="L4" s="250"/>
      <c r="M4" s="250" t="s">
        <v>118</v>
      </c>
      <c r="N4" s="250"/>
      <c r="O4" s="250" t="s">
        <v>127</v>
      </c>
      <c r="P4" s="250"/>
      <c r="Q4" s="250" t="s">
        <v>162</v>
      </c>
      <c r="R4" s="250"/>
      <c r="S4" s="115"/>
      <c r="T4" s="10"/>
    </row>
    <row r="5" spans="1:21" ht="20.25" customHeight="1" x14ac:dyDescent="0.25">
      <c r="B5" s="4"/>
      <c r="C5" s="60" t="s">
        <v>15</v>
      </c>
      <c r="D5" s="60" t="s">
        <v>15</v>
      </c>
      <c r="E5" s="60" t="s">
        <v>15</v>
      </c>
      <c r="F5" s="60" t="s">
        <v>15</v>
      </c>
      <c r="G5" s="60" t="s">
        <v>15</v>
      </c>
      <c r="H5" s="60" t="s">
        <v>15</v>
      </c>
      <c r="I5" s="60" t="s">
        <v>15</v>
      </c>
      <c r="J5" s="60" t="s">
        <v>15</v>
      </c>
      <c r="K5" s="60" t="s">
        <v>15</v>
      </c>
      <c r="L5" s="60" t="s">
        <v>15</v>
      </c>
      <c r="M5" s="60" t="s">
        <v>15</v>
      </c>
      <c r="N5" s="60" t="s">
        <v>15</v>
      </c>
      <c r="O5" s="60" t="s">
        <v>15</v>
      </c>
      <c r="P5" s="60" t="s">
        <v>15</v>
      </c>
      <c r="Q5" s="60" t="s">
        <v>15</v>
      </c>
      <c r="R5" s="60" t="s">
        <v>15</v>
      </c>
      <c r="S5" s="116"/>
      <c r="T5" s="10"/>
    </row>
    <row r="6" spans="1:21" ht="17.25" customHeight="1" x14ac:dyDescent="0.2">
      <c r="B6" s="17" t="s">
        <v>35</v>
      </c>
      <c r="C6" s="123" t="s">
        <v>49</v>
      </c>
      <c r="D6" s="123" t="s">
        <v>50</v>
      </c>
      <c r="E6" s="123" t="s">
        <v>51</v>
      </c>
      <c r="F6" s="123" t="s">
        <v>25</v>
      </c>
      <c r="G6" s="123" t="s">
        <v>23</v>
      </c>
      <c r="H6" s="123" t="s">
        <v>55</v>
      </c>
      <c r="I6" s="123" t="s">
        <v>56</v>
      </c>
      <c r="J6" s="123" t="s">
        <v>97</v>
      </c>
      <c r="K6" s="123" t="s">
        <v>108</v>
      </c>
      <c r="L6" s="123" t="s">
        <v>113</v>
      </c>
      <c r="M6" s="123" t="s">
        <v>117</v>
      </c>
      <c r="N6" s="123" t="s">
        <v>122</v>
      </c>
      <c r="O6" s="123" t="s">
        <v>126</v>
      </c>
      <c r="P6" s="123" t="s">
        <v>153</v>
      </c>
      <c r="Q6" s="123" t="s">
        <v>164</v>
      </c>
      <c r="R6" s="123" t="s">
        <v>167</v>
      </c>
      <c r="S6" s="117"/>
      <c r="T6" s="10"/>
    </row>
    <row r="7" spans="1:21" x14ac:dyDescent="0.2">
      <c r="A7" s="301">
        <v>30</v>
      </c>
      <c r="B7" s="9" t="s">
        <v>0</v>
      </c>
      <c r="C7" s="9">
        <v>1154</v>
      </c>
      <c r="D7" s="9">
        <v>1149</v>
      </c>
      <c r="E7" s="9">
        <v>1190</v>
      </c>
      <c r="F7" s="9">
        <v>1128</v>
      </c>
      <c r="G7" s="10">
        <v>1175</v>
      </c>
      <c r="H7" s="10">
        <v>1200</v>
      </c>
      <c r="I7" s="10">
        <v>1277</v>
      </c>
      <c r="J7" s="10">
        <v>1294</v>
      </c>
      <c r="K7" s="10">
        <v>1458</v>
      </c>
      <c r="L7" s="10">
        <v>1473</v>
      </c>
      <c r="M7" s="10">
        <v>1561</v>
      </c>
      <c r="N7" s="10">
        <v>1601</v>
      </c>
      <c r="O7" s="10">
        <v>1656</v>
      </c>
      <c r="P7" s="10">
        <v>1362</v>
      </c>
      <c r="Q7" s="285">
        <v>1301</v>
      </c>
      <c r="R7" s="285">
        <f>ROUND(FORECAST(R$3,O7:Q7,O$3:Q$3),0)</f>
        <v>1085</v>
      </c>
      <c r="S7" s="239">
        <f t="shared" ref="S7:S16" si="0">R7/Q7-1</f>
        <v>-0.16602613374327435</v>
      </c>
      <c r="T7" s="10"/>
      <c r="U7" s="10"/>
    </row>
    <row r="8" spans="1:21" x14ac:dyDescent="0.2">
      <c r="A8" s="301">
        <v>104952</v>
      </c>
      <c r="B8" s="9" t="s">
        <v>1</v>
      </c>
      <c r="C8" s="9">
        <v>571</v>
      </c>
      <c r="D8" s="9">
        <v>532</v>
      </c>
      <c r="E8" s="9">
        <v>549</v>
      </c>
      <c r="F8" s="9">
        <v>555</v>
      </c>
      <c r="G8" s="10">
        <v>603</v>
      </c>
      <c r="H8" s="10">
        <v>655</v>
      </c>
      <c r="I8" s="10">
        <v>678</v>
      </c>
      <c r="J8" s="10">
        <v>464</v>
      </c>
      <c r="K8" s="10">
        <v>488</v>
      </c>
      <c r="L8" s="10">
        <v>518</v>
      </c>
      <c r="M8" s="10">
        <v>525</v>
      </c>
      <c r="N8" s="10">
        <v>529</v>
      </c>
      <c r="O8" s="10">
        <v>548</v>
      </c>
      <c r="P8" s="10">
        <v>556</v>
      </c>
      <c r="Q8" s="285">
        <v>571</v>
      </c>
      <c r="R8" s="285">
        <f t="shared" ref="R8:R16" si="1">ROUND(FORECAST(R$3,O8:Q8,O$3:Q$3),0)</f>
        <v>581</v>
      </c>
      <c r="S8" s="239">
        <f t="shared" si="0"/>
        <v>1.7513134851138368E-2</v>
      </c>
      <c r="T8" s="10"/>
      <c r="U8" s="10"/>
    </row>
    <row r="9" spans="1:21" x14ac:dyDescent="0.2">
      <c r="A9" s="301">
        <v>11618</v>
      </c>
      <c r="B9" s="9" t="s">
        <v>2</v>
      </c>
      <c r="C9" s="9">
        <v>699</v>
      </c>
      <c r="D9" s="9">
        <v>725</v>
      </c>
      <c r="E9" s="9">
        <v>741</v>
      </c>
      <c r="F9" s="9">
        <v>756</v>
      </c>
      <c r="G9" s="10">
        <v>766</v>
      </c>
      <c r="H9" s="10">
        <v>774</v>
      </c>
      <c r="I9" s="10">
        <v>790</v>
      </c>
      <c r="J9" s="10">
        <v>847</v>
      </c>
      <c r="K9" s="10">
        <v>840</v>
      </c>
      <c r="L9" s="10">
        <v>848</v>
      </c>
      <c r="M9" s="10">
        <v>864</v>
      </c>
      <c r="N9" s="10">
        <v>892</v>
      </c>
      <c r="O9" s="10">
        <v>915</v>
      </c>
      <c r="P9" s="10">
        <v>941</v>
      </c>
      <c r="Q9" s="285">
        <v>978</v>
      </c>
      <c r="R9" s="285">
        <f t="shared" si="1"/>
        <v>1008</v>
      </c>
      <c r="S9" s="239">
        <f t="shared" si="0"/>
        <v>3.0674846625766916E-2</v>
      </c>
      <c r="T9" s="10"/>
      <c r="U9" s="10"/>
    </row>
    <row r="10" spans="1:21" x14ac:dyDescent="0.2">
      <c r="A10" s="301">
        <v>40</v>
      </c>
      <c r="B10" s="9" t="s">
        <v>3</v>
      </c>
      <c r="C10" s="9">
        <v>612</v>
      </c>
      <c r="D10" s="9">
        <v>529</v>
      </c>
      <c r="E10" s="9">
        <v>541</v>
      </c>
      <c r="F10" s="9">
        <v>637</v>
      </c>
      <c r="G10" s="10">
        <v>669</v>
      </c>
      <c r="H10" s="10">
        <v>658</v>
      </c>
      <c r="I10" s="10">
        <v>698</v>
      </c>
      <c r="J10" s="10">
        <v>699</v>
      </c>
      <c r="K10" s="10">
        <v>706</v>
      </c>
      <c r="L10" s="277">
        <v>714</v>
      </c>
      <c r="M10" s="10">
        <v>719</v>
      </c>
      <c r="N10" s="10">
        <v>725</v>
      </c>
      <c r="O10" s="10">
        <v>757</v>
      </c>
      <c r="P10" s="10">
        <v>723</v>
      </c>
      <c r="Q10" s="285">
        <v>750</v>
      </c>
      <c r="R10" s="285">
        <f t="shared" si="1"/>
        <v>736</v>
      </c>
      <c r="S10" s="239">
        <f t="shared" si="0"/>
        <v>-1.866666666666672E-2</v>
      </c>
      <c r="T10" s="10"/>
      <c r="U10" s="10"/>
    </row>
    <row r="11" spans="1:21" x14ac:dyDescent="0.2">
      <c r="A11" s="301">
        <v>25554</v>
      </c>
      <c r="B11" s="9" t="s">
        <v>7</v>
      </c>
      <c r="C11" s="9">
        <v>87</v>
      </c>
      <c r="D11" s="9">
        <v>88</v>
      </c>
      <c r="E11" s="9">
        <v>100</v>
      </c>
      <c r="F11" s="9">
        <v>100</v>
      </c>
      <c r="G11" s="10">
        <v>107</v>
      </c>
      <c r="H11" s="10">
        <v>111</v>
      </c>
      <c r="I11" s="10">
        <v>127</v>
      </c>
      <c r="J11" s="10">
        <v>125</v>
      </c>
      <c r="K11" s="10">
        <v>123</v>
      </c>
      <c r="L11" s="10">
        <v>129</v>
      </c>
      <c r="M11" s="10">
        <v>130</v>
      </c>
      <c r="N11" s="10">
        <v>130</v>
      </c>
      <c r="O11" s="10">
        <v>135</v>
      </c>
      <c r="P11" s="10">
        <v>141</v>
      </c>
      <c r="Q11" s="285">
        <v>135</v>
      </c>
      <c r="R11" s="285">
        <f t="shared" si="1"/>
        <v>137</v>
      </c>
      <c r="S11" s="239">
        <f t="shared" si="0"/>
        <v>1.4814814814814836E-2</v>
      </c>
      <c r="T11" s="10"/>
      <c r="U11" s="10"/>
    </row>
    <row r="12" spans="1:21" x14ac:dyDescent="0.2">
      <c r="A12" s="301">
        <v>404</v>
      </c>
      <c r="B12" s="9" t="s">
        <v>8</v>
      </c>
      <c r="C12" s="9">
        <v>23</v>
      </c>
      <c r="D12" s="9">
        <v>24</v>
      </c>
      <c r="E12" s="9">
        <v>23</v>
      </c>
      <c r="F12" s="9">
        <v>23</v>
      </c>
      <c r="G12" s="10">
        <v>24</v>
      </c>
      <c r="H12" s="10">
        <v>24</v>
      </c>
      <c r="I12" s="10">
        <v>24</v>
      </c>
      <c r="J12" s="10">
        <v>26</v>
      </c>
      <c r="K12" s="10">
        <v>28</v>
      </c>
      <c r="L12" s="10">
        <v>29</v>
      </c>
      <c r="M12" s="10">
        <v>45</v>
      </c>
      <c r="N12" s="10">
        <v>64</v>
      </c>
      <c r="O12" s="10">
        <v>83</v>
      </c>
      <c r="P12" s="10">
        <v>77</v>
      </c>
      <c r="Q12" s="285">
        <v>73</v>
      </c>
      <c r="R12" s="285">
        <f t="shared" si="1"/>
        <v>68</v>
      </c>
      <c r="S12" s="239">
        <f t="shared" si="0"/>
        <v>-6.8493150684931559E-2</v>
      </c>
      <c r="T12" s="10"/>
      <c r="U12" s="10"/>
    </row>
    <row r="13" spans="1:21" x14ac:dyDescent="0.2">
      <c r="A13" s="301">
        <v>89</v>
      </c>
      <c r="B13" s="9" t="s">
        <v>4</v>
      </c>
      <c r="C13" s="9">
        <v>296</v>
      </c>
      <c r="D13" s="9">
        <v>301</v>
      </c>
      <c r="E13" s="9">
        <v>318</v>
      </c>
      <c r="F13" s="9">
        <v>425</v>
      </c>
      <c r="G13" s="10">
        <v>475</v>
      </c>
      <c r="H13" s="10">
        <v>517</v>
      </c>
      <c r="I13" s="10">
        <v>505</v>
      </c>
      <c r="J13" s="10">
        <v>518</v>
      </c>
      <c r="K13" s="10">
        <v>543</v>
      </c>
      <c r="L13" s="10">
        <v>558</v>
      </c>
      <c r="M13" s="10">
        <v>580</v>
      </c>
      <c r="N13" s="10">
        <v>615</v>
      </c>
      <c r="O13" s="10">
        <v>623</v>
      </c>
      <c r="P13" s="10">
        <v>625</v>
      </c>
      <c r="Q13" s="285">
        <v>1128</v>
      </c>
      <c r="R13" s="285">
        <f t="shared" si="1"/>
        <v>1297</v>
      </c>
      <c r="S13" s="239">
        <f t="shared" si="0"/>
        <v>0.14982269503546108</v>
      </c>
      <c r="T13" s="10"/>
      <c r="U13" s="10"/>
    </row>
    <row r="14" spans="1:21" x14ac:dyDescent="0.2">
      <c r="A14" s="301">
        <v>130</v>
      </c>
      <c r="B14" s="9" t="s">
        <v>5</v>
      </c>
      <c r="C14" s="9">
        <v>127</v>
      </c>
      <c r="D14" s="9">
        <v>124</v>
      </c>
      <c r="E14" s="9">
        <v>125</v>
      </c>
      <c r="F14" s="9">
        <v>123</v>
      </c>
      <c r="G14" s="10">
        <v>141</v>
      </c>
      <c r="H14" s="10">
        <v>130</v>
      </c>
      <c r="I14" s="10">
        <v>161</v>
      </c>
      <c r="J14" s="10">
        <v>172</v>
      </c>
      <c r="K14" s="10">
        <v>178</v>
      </c>
      <c r="L14" s="10">
        <v>189</v>
      </c>
      <c r="M14" s="10">
        <v>221</v>
      </c>
      <c r="N14" s="10">
        <v>255</v>
      </c>
      <c r="O14" s="10">
        <v>244</v>
      </c>
      <c r="P14" s="10">
        <v>274</v>
      </c>
      <c r="Q14" s="285">
        <v>413</v>
      </c>
      <c r="R14" s="285">
        <f t="shared" si="1"/>
        <v>479</v>
      </c>
      <c r="S14" s="239">
        <f t="shared" si="0"/>
        <v>0.15980629539951563</v>
      </c>
      <c r="T14" s="10"/>
      <c r="U14" s="10"/>
    </row>
    <row r="15" spans="1:21" s="19" customFormat="1" x14ac:dyDescent="0.2">
      <c r="A15" s="301">
        <v>412</v>
      </c>
      <c r="B15" s="20" t="s">
        <v>6</v>
      </c>
      <c r="C15" s="20">
        <v>491</v>
      </c>
      <c r="D15" s="20">
        <v>491</v>
      </c>
      <c r="E15" s="20">
        <v>497</v>
      </c>
      <c r="F15" s="20">
        <v>469</v>
      </c>
      <c r="G15" s="21">
        <v>473</v>
      </c>
      <c r="H15" s="21">
        <v>338</v>
      </c>
      <c r="I15" s="21">
        <v>351</v>
      </c>
      <c r="J15" s="21">
        <v>344</v>
      </c>
      <c r="K15" s="21">
        <v>360</v>
      </c>
      <c r="L15" s="21">
        <v>371</v>
      </c>
      <c r="M15" s="21">
        <v>380</v>
      </c>
      <c r="N15" s="10">
        <v>396</v>
      </c>
      <c r="O15" s="10">
        <v>412</v>
      </c>
      <c r="P15" s="10">
        <v>421</v>
      </c>
      <c r="Q15" s="286">
        <v>453</v>
      </c>
      <c r="R15" s="285">
        <f t="shared" si="1"/>
        <v>470</v>
      </c>
      <c r="S15" s="239">
        <f t="shared" si="0"/>
        <v>3.7527593818984517E-2</v>
      </c>
      <c r="T15" s="10"/>
      <c r="U15" s="21"/>
    </row>
    <row r="16" spans="1:21" s="19" customFormat="1" x14ac:dyDescent="0.2">
      <c r="A16" s="307">
        <v>862</v>
      </c>
      <c r="B16" s="20" t="s">
        <v>123</v>
      </c>
      <c r="C16" s="308" t="s">
        <v>88</v>
      </c>
      <c r="D16" s="308" t="s">
        <v>88</v>
      </c>
      <c r="E16" s="308" t="s">
        <v>88</v>
      </c>
      <c r="F16" s="308" t="s">
        <v>88</v>
      </c>
      <c r="G16" s="308" t="s">
        <v>88</v>
      </c>
      <c r="H16" s="21">
        <v>169</v>
      </c>
      <c r="I16" s="21">
        <v>185</v>
      </c>
      <c r="J16" s="21">
        <v>185</v>
      </c>
      <c r="K16" s="21">
        <v>187</v>
      </c>
      <c r="L16" s="21">
        <v>193</v>
      </c>
      <c r="M16" s="21">
        <v>221</v>
      </c>
      <c r="N16" s="21">
        <v>226</v>
      </c>
      <c r="O16" s="21">
        <v>233</v>
      </c>
      <c r="P16" s="21">
        <v>237</v>
      </c>
      <c r="Q16" s="286">
        <v>247</v>
      </c>
      <c r="R16" s="285">
        <f t="shared" si="1"/>
        <v>253</v>
      </c>
      <c r="S16" s="239">
        <f t="shared" si="0"/>
        <v>2.4291497975708509E-2</v>
      </c>
      <c r="T16" s="21"/>
      <c r="U16" s="21"/>
    </row>
    <row r="17" spans="1:21" s="19" customFormat="1" x14ac:dyDescent="0.2">
      <c r="A17" s="307">
        <v>203658</v>
      </c>
      <c r="B17" s="9" t="s">
        <v>156</v>
      </c>
      <c r="C17" s="308"/>
      <c r="D17" s="308"/>
      <c r="E17" s="308"/>
      <c r="F17" s="308"/>
      <c r="G17" s="308"/>
      <c r="H17" s="21"/>
      <c r="I17" s="21"/>
      <c r="J17" s="21"/>
      <c r="K17" s="21"/>
      <c r="L17" s="21"/>
      <c r="M17" s="21"/>
      <c r="N17" s="21"/>
      <c r="O17" s="21"/>
      <c r="P17" s="21">
        <v>256</v>
      </c>
      <c r="Q17" s="286">
        <v>267</v>
      </c>
      <c r="R17" s="285">
        <f t="shared" ref="R17:R18" si="2">ROUND(FORECAST(R$3,O17:Q17,O$3:Q$3),0)</f>
        <v>278</v>
      </c>
      <c r="S17" s="239">
        <f t="shared" ref="S17:S18" si="3">R17/Q17-1</f>
        <v>4.1198501872659277E-2</v>
      </c>
      <c r="T17" s="21"/>
      <c r="U17" s="21"/>
    </row>
    <row r="18" spans="1:21" x14ac:dyDescent="0.2">
      <c r="A18" s="301">
        <v>203599</v>
      </c>
      <c r="B18" s="9" t="s">
        <v>157</v>
      </c>
      <c r="C18" s="278"/>
      <c r="D18" s="278"/>
      <c r="E18" s="278"/>
      <c r="F18" s="278"/>
      <c r="G18" s="278"/>
      <c r="H18" s="287"/>
      <c r="I18" s="287"/>
      <c r="J18" s="287"/>
      <c r="K18" s="287"/>
      <c r="L18" s="287"/>
      <c r="M18" s="287"/>
      <c r="N18" s="10"/>
      <c r="O18" s="10"/>
      <c r="P18" s="10">
        <v>69</v>
      </c>
      <c r="Q18" s="286">
        <v>99</v>
      </c>
      <c r="R18" s="285">
        <f t="shared" si="2"/>
        <v>129</v>
      </c>
      <c r="S18" s="239">
        <f t="shared" si="3"/>
        <v>0.30303030303030298</v>
      </c>
      <c r="T18" s="10"/>
      <c r="U18" s="10"/>
    </row>
    <row r="19" spans="1:21" x14ac:dyDescent="0.2">
      <c r="B19" s="76" t="s">
        <v>34</v>
      </c>
      <c r="C19" s="13">
        <f t="shared" ref="C19:I19" si="4">SUM(C7:C18)</f>
        <v>4060</v>
      </c>
      <c r="D19" s="13">
        <f t="shared" si="4"/>
        <v>3963</v>
      </c>
      <c r="E19" s="13">
        <f t="shared" si="4"/>
        <v>4084</v>
      </c>
      <c r="F19" s="13">
        <f t="shared" si="4"/>
        <v>4216</v>
      </c>
      <c r="G19" s="13">
        <f t="shared" si="4"/>
        <v>4433</v>
      </c>
      <c r="H19" s="13">
        <f t="shared" si="4"/>
        <v>4576</v>
      </c>
      <c r="I19" s="13">
        <f t="shared" si="4"/>
        <v>4796</v>
      </c>
      <c r="J19" s="13">
        <f t="shared" ref="J19:M19" si="5">SUM(J7:J18)</f>
        <v>4674</v>
      </c>
      <c r="K19" s="13">
        <f t="shared" ref="K19" si="6">SUM(K7:K18)</f>
        <v>4911</v>
      </c>
      <c r="L19" s="13">
        <f t="shared" si="5"/>
        <v>5022</v>
      </c>
      <c r="M19" s="13">
        <f t="shared" si="5"/>
        <v>5246</v>
      </c>
      <c r="N19" s="13">
        <f t="shared" ref="N19" si="7">SUM(N7:N18)</f>
        <v>5433</v>
      </c>
      <c r="O19" s="13">
        <f t="shared" ref="O19:P19" si="8">SUM(O7:O18)</f>
        <v>5606</v>
      </c>
      <c r="P19" s="13">
        <f t="shared" si="8"/>
        <v>5682</v>
      </c>
      <c r="Q19" s="13">
        <v>6415</v>
      </c>
      <c r="R19" s="13">
        <v>6521</v>
      </c>
      <c r="S19" s="241">
        <v>0.24299999999999999</v>
      </c>
      <c r="T19" s="10"/>
      <c r="U19" s="10"/>
    </row>
    <row r="20" spans="1:21" ht="15.75" x14ac:dyDescent="0.25">
      <c r="B20" s="24"/>
      <c r="C20" s="24"/>
      <c r="D20" s="24"/>
      <c r="E20" s="24"/>
      <c r="F20" s="24"/>
      <c r="G20" s="21"/>
      <c r="H20" s="21"/>
      <c r="I20" s="120"/>
      <c r="J20" s="21"/>
      <c r="K20" s="21"/>
      <c r="L20" s="21"/>
      <c r="M20" s="21"/>
      <c r="N20" s="21"/>
      <c r="O20" s="21"/>
      <c r="P20" s="21"/>
      <c r="Q20" s="21"/>
      <c r="R20" s="21"/>
      <c r="S20" s="239"/>
      <c r="T20" s="10"/>
      <c r="U20" s="10"/>
    </row>
    <row r="21" spans="1:21" x14ac:dyDescent="0.2">
      <c r="B21" s="7" t="s">
        <v>11</v>
      </c>
      <c r="C21" s="7">
        <v>1088</v>
      </c>
      <c r="D21" s="7">
        <v>1081</v>
      </c>
      <c r="E21" s="7">
        <v>1082</v>
      </c>
      <c r="F21" s="7">
        <v>1126</v>
      </c>
      <c r="G21" s="19">
        <v>1139</v>
      </c>
      <c r="H21" s="19">
        <v>1147</v>
      </c>
      <c r="I21" s="19">
        <v>1148</v>
      </c>
      <c r="J21" s="19">
        <v>1128</v>
      </c>
      <c r="K21" s="10">
        <v>1167</v>
      </c>
      <c r="L21" s="10">
        <v>1182</v>
      </c>
      <c r="M21" s="10">
        <v>1166</v>
      </c>
      <c r="N21" s="285">
        <v>1207</v>
      </c>
      <c r="O21" s="285">
        <v>1247</v>
      </c>
      <c r="P21" s="285">
        <v>1269</v>
      </c>
      <c r="Q21" s="285">
        <v>1324</v>
      </c>
      <c r="R21" s="285">
        <f t="shared" ref="R21" si="9">ROUND(FORECAST(R$3,O21:Q21,O$3:Q$3),0)</f>
        <v>1357</v>
      </c>
      <c r="S21" s="239">
        <v>0.1638</v>
      </c>
      <c r="T21" s="10"/>
      <c r="U21" s="10"/>
    </row>
    <row r="22" spans="1:21" x14ac:dyDescent="0.2">
      <c r="B22" s="7"/>
      <c r="C22" s="7"/>
      <c r="D22" s="7"/>
      <c r="E22" s="7"/>
      <c r="F22" s="7"/>
      <c r="G22" s="19"/>
      <c r="H22" s="19"/>
      <c r="I22" s="22"/>
      <c r="J22" s="19"/>
      <c r="K22" s="19"/>
      <c r="L22" s="19"/>
      <c r="M22" s="19"/>
      <c r="N22" s="19"/>
      <c r="O22" s="19"/>
      <c r="P22" s="19"/>
      <c r="Q22" s="19"/>
      <c r="R22" s="19"/>
      <c r="S22" s="106"/>
      <c r="T22" s="10"/>
      <c r="U22" s="10"/>
    </row>
    <row r="23" spans="1:21" ht="16.5" thickBot="1" x14ac:dyDescent="0.3">
      <c r="B23" s="143" t="s">
        <v>60</v>
      </c>
      <c r="C23" s="15">
        <f t="shared" ref="C23:I23" si="10">C21+C19</f>
        <v>5148</v>
      </c>
      <c r="D23" s="15">
        <f t="shared" si="10"/>
        <v>5044</v>
      </c>
      <c r="E23" s="15">
        <f t="shared" si="10"/>
        <v>5166</v>
      </c>
      <c r="F23" s="15">
        <f t="shared" si="10"/>
        <v>5342</v>
      </c>
      <c r="G23" s="15">
        <f t="shared" si="10"/>
        <v>5572</v>
      </c>
      <c r="H23" s="15">
        <f t="shared" si="10"/>
        <v>5723</v>
      </c>
      <c r="I23" s="15">
        <f t="shared" si="10"/>
        <v>5944</v>
      </c>
      <c r="J23" s="15">
        <f t="shared" ref="J23:L23" si="11">J21+J19</f>
        <v>5802</v>
      </c>
      <c r="K23" s="15">
        <f t="shared" ref="K23" si="12">K21+K19</f>
        <v>6078</v>
      </c>
      <c r="L23" s="15">
        <f t="shared" si="11"/>
        <v>6204</v>
      </c>
      <c r="M23" s="15">
        <f t="shared" ref="M23" si="13">M21+M19</f>
        <v>6412</v>
      </c>
      <c r="N23" s="15">
        <f t="shared" ref="N23" si="14">N21+N19</f>
        <v>6640</v>
      </c>
      <c r="O23" s="15">
        <f t="shared" ref="O23:P23" si="15">O21+O19</f>
        <v>6853</v>
      </c>
      <c r="P23" s="15">
        <f t="shared" si="15"/>
        <v>6951</v>
      </c>
      <c r="Q23" s="15">
        <v>7739</v>
      </c>
      <c r="R23" s="15">
        <v>7878</v>
      </c>
      <c r="S23" s="241">
        <v>0.2286</v>
      </c>
      <c r="T23" s="10"/>
      <c r="U23" s="10"/>
    </row>
    <row r="24" spans="1:21" ht="16.5" thickTop="1" x14ac:dyDescent="0.25">
      <c r="B24" s="18" t="s">
        <v>128</v>
      </c>
      <c r="C24" s="239"/>
      <c r="D24" s="240">
        <f t="shared" ref="D24:J24" si="16">(D23-C23)/C23</f>
        <v>-2.0202020202020204E-2</v>
      </c>
      <c r="E24" s="240">
        <f t="shared" si="16"/>
        <v>2.4187153053132435E-2</v>
      </c>
      <c r="F24" s="240">
        <f t="shared" si="16"/>
        <v>3.4068912117692605E-2</v>
      </c>
      <c r="G24" s="240">
        <f t="shared" si="16"/>
        <v>4.3055035567203297E-2</v>
      </c>
      <c r="H24" s="240">
        <f t="shared" si="16"/>
        <v>2.709978463747308E-2</v>
      </c>
      <c r="I24" s="240">
        <f t="shared" si="16"/>
        <v>3.861611043159182E-2</v>
      </c>
      <c r="J24" s="240">
        <f t="shared" si="16"/>
        <v>-2.3889636608344551E-2</v>
      </c>
      <c r="K24" s="240">
        <f t="shared" ref="K24:R24" si="17">(K23-I23)/I23</f>
        <v>2.2543741588156124E-2</v>
      </c>
      <c r="L24" s="240">
        <f t="shared" si="17"/>
        <v>6.9286452947259561E-2</v>
      </c>
      <c r="M24" s="240">
        <f t="shared" si="17"/>
        <v>5.4952286936492269E-2</v>
      </c>
      <c r="N24" s="240">
        <f t="shared" si="17"/>
        <v>7.0277240490006443E-2</v>
      </c>
      <c r="O24" s="240">
        <f t="shared" si="17"/>
        <v>6.8777292576419208E-2</v>
      </c>
      <c r="P24" s="240">
        <f t="shared" si="17"/>
        <v>4.6837349397590364E-2</v>
      </c>
      <c r="Q24" s="240">
        <f t="shared" si="17"/>
        <v>0.12928644389318547</v>
      </c>
      <c r="R24" s="240">
        <f t="shared" si="17"/>
        <v>0.13336210617177385</v>
      </c>
      <c r="S24" s="105"/>
      <c r="T24" s="10"/>
      <c r="U24" s="10"/>
    </row>
    <row r="25" spans="1:21" ht="15.75" x14ac:dyDescent="0.25">
      <c r="B25" s="18"/>
      <c r="C25" s="19"/>
      <c r="D25" s="19"/>
      <c r="E25" s="19"/>
      <c r="F25" s="19"/>
      <c r="G25" s="19"/>
      <c r="H25" s="19"/>
      <c r="I25" s="19"/>
      <c r="J25" s="121"/>
      <c r="K25" s="121"/>
      <c r="L25" s="121"/>
      <c r="M25" s="121"/>
      <c r="N25" s="121"/>
      <c r="O25" s="105"/>
      <c r="P25" s="105"/>
      <c r="Q25" s="105"/>
      <c r="R25" s="121"/>
      <c r="S25" s="119"/>
      <c r="T25" s="10"/>
    </row>
    <row r="26" spans="1:21" ht="15.75" x14ac:dyDescent="0.25">
      <c r="B26" s="18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21"/>
      <c r="S26" s="119"/>
      <c r="T26" s="10"/>
    </row>
    <row r="27" spans="1:21" ht="15.75" x14ac:dyDescent="0.25">
      <c r="B27" s="18"/>
      <c r="C27" s="19"/>
      <c r="D27" s="19"/>
      <c r="E27" s="19"/>
      <c r="F27" s="19"/>
      <c r="G27" s="19"/>
      <c r="H27" s="19"/>
      <c r="I27" s="19"/>
      <c r="J27" s="121"/>
      <c r="K27" s="121"/>
      <c r="L27" s="121"/>
      <c r="M27" s="121"/>
      <c r="N27" s="121"/>
      <c r="O27" s="105"/>
      <c r="P27" s="105"/>
      <c r="Q27" s="105"/>
      <c r="R27" s="121"/>
      <c r="S27" s="119"/>
      <c r="T27" s="10"/>
    </row>
    <row r="28" spans="1:21" ht="15.75" x14ac:dyDescent="0.25">
      <c r="B28" s="18"/>
      <c r="C28" s="19"/>
      <c r="D28" s="19"/>
      <c r="E28" s="19"/>
      <c r="F28" s="19"/>
      <c r="G28" s="19"/>
      <c r="H28" s="19"/>
      <c r="I28" s="19" t="s">
        <v>116</v>
      </c>
      <c r="J28" s="121"/>
      <c r="K28" s="121"/>
      <c r="L28" s="121"/>
      <c r="M28" s="121"/>
      <c r="N28" s="121"/>
      <c r="O28" s="105"/>
      <c r="P28" s="105"/>
      <c r="Q28" s="105"/>
      <c r="R28" s="121"/>
      <c r="S28" s="119"/>
      <c r="T28" s="10"/>
    </row>
    <row r="29" spans="1:21" x14ac:dyDescent="0.2">
      <c r="B29" s="23" t="s">
        <v>46</v>
      </c>
      <c r="C29" s="23">
        <v>0</v>
      </c>
      <c r="D29" s="23">
        <v>0</v>
      </c>
      <c r="E29" s="23">
        <v>0</v>
      </c>
      <c r="F29" s="100">
        <v>2339.9475851740899</v>
      </c>
      <c r="G29" s="100">
        <v>5634.0261330990406</v>
      </c>
      <c r="H29" s="100" t="s">
        <v>88</v>
      </c>
      <c r="I29" s="225">
        <v>6304.8401749663526</v>
      </c>
      <c r="J29" s="100" t="s">
        <v>88</v>
      </c>
      <c r="K29" s="100">
        <v>4682.1684765862501</v>
      </c>
      <c r="L29" s="100" t="s">
        <v>88</v>
      </c>
      <c r="M29" s="100">
        <v>5121.8794176690999</v>
      </c>
      <c r="N29" s="100" t="s">
        <v>88</v>
      </c>
      <c r="O29" s="100">
        <v>6265.5322305235441</v>
      </c>
      <c r="P29" s="100" t="s">
        <v>88</v>
      </c>
      <c r="Q29" s="100">
        <v>5823.6395051310456</v>
      </c>
      <c r="R29" s="121"/>
      <c r="S29" s="119"/>
      <c r="T29" s="10"/>
    </row>
    <row r="30" spans="1:21" x14ac:dyDescent="0.2">
      <c r="B30" s="7" t="s">
        <v>47</v>
      </c>
      <c r="C30" s="7">
        <v>0</v>
      </c>
      <c r="D30" s="19">
        <v>0</v>
      </c>
      <c r="E30" s="7">
        <v>0</v>
      </c>
      <c r="F30" s="211">
        <v>4680</v>
      </c>
      <c r="G30" s="211">
        <v>11268.052266198081</v>
      </c>
      <c r="H30" s="211" t="s">
        <v>88</v>
      </c>
      <c r="I30" s="226">
        <v>12609.680349932705</v>
      </c>
      <c r="J30" s="211" t="s">
        <v>88</v>
      </c>
      <c r="K30" s="211">
        <v>9364.3369531725002</v>
      </c>
      <c r="L30" s="211" t="s">
        <v>88</v>
      </c>
      <c r="M30" s="211">
        <v>10243.7588353382</v>
      </c>
      <c r="N30" s="211" t="s">
        <v>88</v>
      </c>
      <c r="O30" s="211">
        <v>12531.064461047088</v>
      </c>
      <c r="P30" s="211" t="s">
        <v>88</v>
      </c>
      <c r="Q30" s="211">
        <v>11647.279010262091</v>
      </c>
      <c r="R30" s="25"/>
    </row>
    <row r="31" spans="1:21" ht="15.75" x14ac:dyDescent="0.25">
      <c r="B31" s="212" t="s">
        <v>57</v>
      </c>
      <c r="C31" s="213" t="s">
        <v>92</v>
      </c>
      <c r="D31" s="213" t="s">
        <v>92</v>
      </c>
      <c r="E31" s="213" t="s">
        <v>93</v>
      </c>
      <c r="F31" s="213" t="s">
        <v>58</v>
      </c>
      <c r="G31" s="213" t="s">
        <v>59</v>
      </c>
      <c r="H31" s="213" t="s">
        <v>91</v>
      </c>
      <c r="I31" s="213" t="s">
        <v>91</v>
      </c>
      <c r="J31" s="213" t="s">
        <v>91</v>
      </c>
      <c r="K31" s="213" t="s">
        <v>91</v>
      </c>
      <c r="L31" s="213" t="s">
        <v>91</v>
      </c>
      <c r="M31" s="213" t="s">
        <v>91</v>
      </c>
      <c r="N31" s="213" t="s">
        <v>91</v>
      </c>
      <c r="O31" s="213" t="s">
        <v>91</v>
      </c>
      <c r="P31" s="213" t="s">
        <v>91</v>
      </c>
      <c r="Q31" s="213" t="s">
        <v>91</v>
      </c>
    </row>
    <row r="32" spans="1:21" ht="15.75" thickBot="1" x14ac:dyDescent="0.25">
      <c r="B32" s="19"/>
      <c r="C32" s="42"/>
      <c r="D32" s="23"/>
      <c r="E32" s="19"/>
      <c r="F32" s="25"/>
      <c r="G32" s="19"/>
      <c r="H32" s="19"/>
      <c r="I32" s="25"/>
      <c r="J32" s="19"/>
      <c r="K32" s="251" t="s">
        <v>110</v>
      </c>
      <c r="L32" s="19"/>
      <c r="M32" s="19"/>
      <c r="N32" s="19"/>
      <c r="O32" s="19"/>
      <c r="P32" s="19"/>
      <c r="Q32" s="19"/>
    </row>
    <row r="33" spans="2:17" ht="31.5" x14ac:dyDescent="0.25">
      <c r="B33" s="18" t="s">
        <v>46</v>
      </c>
      <c r="C33" s="43"/>
      <c r="D33" s="23"/>
      <c r="E33" s="19"/>
      <c r="F33" s="125" t="s">
        <v>36</v>
      </c>
      <c r="G33" s="125" t="s">
        <v>48</v>
      </c>
      <c r="H33" s="137"/>
      <c r="I33" s="262" t="s">
        <v>114</v>
      </c>
      <c r="J33" s="263" t="s">
        <v>115</v>
      </c>
      <c r="K33" s="261" t="s">
        <v>98</v>
      </c>
      <c r="L33" s="137"/>
      <c r="M33" s="250" t="s">
        <v>118</v>
      </c>
      <c r="N33" s="284"/>
      <c r="O33" s="250" t="s">
        <v>127</v>
      </c>
      <c r="P33" s="284"/>
      <c r="Q33" s="250" t="s">
        <v>162</v>
      </c>
    </row>
    <row r="34" spans="2:17" x14ac:dyDescent="0.2">
      <c r="B34" s="9" t="s">
        <v>0</v>
      </c>
      <c r="C34" s="44"/>
      <c r="D34" s="19"/>
      <c r="E34" s="19"/>
      <c r="F34" s="133">
        <v>2639461</v>
      </c>
      <c r="G34" s="134">
        <v>6619981</v>
      </c>
      <c r="H34" s="25"/>
      <c r="I34" s="264">
        <v>8178091</v>
      </c>
      <c r="J34" s="265">
        <v>7965686</v>
      </c>
      <c r="K34" s="134">
        <v>6826602</v>
      </c>
      <c r="L34" s="25"/>
      <c r="M34" s="138">
        <v>7995254</v>
      </c>
      <c r="N34" s="25"/>
      <c r="O34" s="138">
        <v>10375721</v>
      </c>
      <c r="P34" s="25"/>
      <c r="Q34" s="138">
        <v>7576555</v>
      </c>
    </row>
    <row r="35" spans="2:17" x14ac:dyDescent="0.2">
      <c r="B35" s="9" t="s">
        <v>1</v>
      </c>
      <c r="C35" s="25"/>
      <c r="D35" s="23"/>
      <c r="E35" s="19"/>
      <c r="F35" s="129">
        <v>1298670.9097716198</v>
      </c>
      <c r="G35" s="50">
        <v>3397318</v>
      </c>
      <c r="H35" s="103"/>
      <c r="I35" s="266">
        <v>4342009</v>
      </c>
      <c r="J35" s="267">
        <v>4229236</v>
      </c>
      <c r="K35" s="50">
        <v>2284898</v>
      </c>
      <c r="L35" s="103"/>
      <c r="M35" s="139">
        <v>2688987</v>
      </c>
      <c r="N35" s="103"/>
      <c r="O35" s="139">
        <v>3433512</v>
      </c>
      <c r="P35" s="103"/>
      <c r="Q35" s="139">
        <v>3325298</v>
      </c>
    </row>
    <row r="36" spans="2:17" x14ac:dyDescent="0.2">
      <c r="B36" s="9" t="s">
        <v>2</v>
      </c>
      <c r="C36" s="19"/>
      <c r="D36" s="23"/>
      <c r="E36" s="19"/>
      <c r="F36" s="129">
        <v>1769000.3743916119</v>
      </c>
      <c r="G36" s="50">
        <v>4315664</v>
      </c>
      <c r="H36" s="103"/>
      <c r="I36" s="266">
        <v>5059273</v>
      </c>
      <c r="J36" s="267">
        <v>4927871</v>
      </c>
      <c r="K36" s="50">
        <v>3933022</v>
      </c>
      <c r="L36" s="103"/>
      <c r="M36" s="139">
        <v>4425304</v>
      </c>
      <c r="N36" s="103"/>
      <c r="O36" s="139">
        <v>5732962</v>
      </c>
      <c r="P36" s="103"/>
      <c r="Q36" s="139">
        <v>5695519</v>
      </c>
    </row>
    <row r="37" spans="2:17" x14ac:dyDescent="0.2">
      <c r="B37" s="9" t="s">
        <v>3</v>
      </c>
      <c r="D37" s="19"/>
      <c r="E37" s="19"/>
      <c r="F37" s="129">
        <v>1490546.6117558952</v>
      </c>
      <c r="G37" s="130">
        <v>3769163</v>
      </c>
      <c r="H37" s="126"/>
      <c r="I37" s="268">
        <v>4470092</v>
      </c>
      <c r="J37" s="269">
        <v>4353993</v>
      </c>
      <c r="K37" s="130">
        <v>3305611</v>
      </c>
      <c r="L37" s="126"/>
      <c r="M37" s="140">
        <v>3682631</v>
      </c>
      <c r="N37" s="126"/>
      <c r="O37" s="140">
        <v>4743008</v>
      </c>
      <c r="P37" s="126"/>
      <c r="Q37" s="140">
        <v>4367730</v>
      </c>
    </row>
    <row r="38" spans="2:17" ht="15.75" x14ac:dyDescent="0.25">
      <c r="B38" s="9" t="s">
        <v>7</v>
      </c>
      <c r="C38" s="19"/>
      <c r="D38" s="18"/>
      <c r="E38" s="18"/>
      <c r="F38" s="129">
        <v>233994.75851740898</v>
      </c>
      <c r="G38" s="50">
        <v>602841</v>
      </c>
      <c r="H38" s="103"/>
      <c r="I38" s="266">
        <v>813326</v>
      </c>
      <c r="J38" s="267">
        <v>792202</v>
      </c>
      <c r="K38" s="50">
        <v>575907</v>
      </c>
      <c r="L38" s="103"/>
      <c r="M38" s="139">
        <v>665844</v>
      </c>
      <c r="N38" s="103"/>
      <c r="O38" s="139">
        <v>845847</v>
      </c>
      <c r="P38" s="103"/>
      <c r="Q38" s="139">
        <v>786191</v>
      </c>
    </row>
    <row r="39" spans="2:17" ht="15.75" x14ac:dyDescent="0.25">
      <c r="B39" s="9" t="s">
        <v>8</v>
      </c>
      <c r="C39" s="19"/>
      <c r="D39" s="18"/>
      <c r="E39" s="19"/>
      <c r="F39" s="129">
        <v>53818.794459004072</v>
      </c>
      <c r="G39" s="50">
        <v>135217</v>
      </c>
      <c r="H39" s="103"/>
      <c r="I39" s="266">
        <v>153700</v>
      </c>
      <c r="J39" s="267">
        <v>149708</v>
      </c>
      <c r="K39" s="50">
        <v>131101</v>
      </c>
      <c r="L39" s="103"/>
      <c r="M39" s="139">
        <v>230485</v>
      </c>
      <c r="N39" s="103"/>
      <c r="O39" s="139">
        <v>520039</v>
      </c>
      <c r="P39" s="103"/>
      <c r="Q39" s="139">
        <v>425126</v>
      </c>
    </row>
    <row r="40" spans="2:17" x14ac:dyDescent="0.2">
      <c r="B40" s="9" t="s">
        <v>4</v>
      </c>
      <c r="C40" s="19"/>
      <c r="D40" s="19"/>
      <c r="E40" s="19"/>
      <c r="F40" s="129">
        <v>994477.72369898821</v>
      </c>
      <c r="G40" s="50">
        <v>2676162</v>
      </c>
      <c r="H40" s="103"/>
      <c r="I40" s="266">
        <v>3234092</v>
      </c>
      <c r="J40" s="267">
        <v>3150095</v>
      </c>
      <c r="K40" s="50">
        <v>2542417</v>
      </c>
      <c r="L40" s="103"/>
      <c r="M40" s="139">
        <v>2970690</v>
      </c>
      <c r="N40" s="103"/>
      <c r="O40" s="139">
        <v>3903427</v>
      </c>
      <c r="P40" s="103"/>
      <c r="Q40" s="139">
        <v>6569065</v>
      </c>
    </row>
    <row r="41" spans="2:17" x14ac:dyDescent="0.2">
      <c r="B41" s="9" t="s">
        <v>5</v>
      </c>
      <c r="C41" s="19"/>
      <c r="D41" s="19"/>
      <c r="E41" s="19"/>
      <c r="F41" s="129">
        <v>287813.55297641305</v>
      </c>
      <c r="G41" s="50">
        <v>794398</v>
      </c>
      <c r="H41" s="103"/>
      <c r="I41" s="266">
        <v>1031067</v>
      </c>
      <c r="J41" s="267">
        <v>1004288</v>
      </c>
      <c r="K41" s="50">
        <v>833426</v>
      </c>
      <c r="L41" s="103"/>
      <c r="M41" s="139">
        <v>1131935</v>
      </c>
      <c r="N41" s="103"/>
      <c r="O41" s="139">
        <v>1528790</v>
      </c>
      <c r="P41" s="103"/>
      <c r="Q41" s="139">
        <v>2405163</v>
      </c>
    </row>
    <row r="42" spans="2:17" x14ac:dyDescent="0.2">
      <c r="B42" s="9" t="s">
        <v>6</v>
      </c>
      <c r="C42" s="19"/>
      <c r="D42" s="19"/>
      <c r="E42" s="19"/>
      <c r="F42" s="129">
        <v>1097435.4174466482</v>
      </c>
      <c r="G42" s="50">
        <v>2664894</v>
      </c>
      <c r="H42" s="103"/>
      <c r="I42" s="266">
        <v>3432621</v>
      </c>
      <c r="J42" s="267">
        <v>3343467</v>
      </c>
      <c r="K42" s="50">
        <v>2561146</v>
      </c>
      <c r="L42" s="103"/>
      <c r="M42" s="139">
        <v>3078250</v>
      </c>
      <c r="N42" s="103"/>
      <c r="O42" s="139">
        <v>2581399</v>
      </c>
      <c r="P42" s="103"/>
      <c r="Q42" s="139">
        <v>2638109</v>
      </c>
    </row>
    <row r="43" spans="2:17" x14ac:dyDescent="0.2">
      <c r="B43" s="9" t="s">
        <v>123</v>
      </c>
      <c r="C43" s="19"/>
      <c r="D43" s="19"/>
      <c r="E43" s="19"/>
      <c r="F43" s="129"/>
      <c r="G43" s="50"/>
      <c r="H43" s="103"/>
      <c r="I43" s="266"/>
      <c r="J43" s="267"/>
      <c r="K43" s="50"/>
      <c r="L43" s="103"/>
      <c r="M43" s="139"/>
      <c r="N43" s="103"/>
      <c r="O43" s="139">
        <v>1459869</v>
      </c>
      <c r="P43" s="103"/>
      <c r="Q43" s="139">
        <v>1438439</v>
      </c>
    </row>
    <row r="44" spans="2:17" x14ac:dyDescent="0.2">
      <c r="B44" s="9" t="s">
        <v>156</v>
      </c>
      <c r="C44" s="19"/>
      <c r="D44" s="19"/>
      <c r="E44" s="19"/>
      <c r="F44" s="129"/>
      <c r="G44" s="50"/>
      <c r="H44" s="103"/>
      <c r="I44" s="266"/>
      <c r="J44" s="267"/>
      <c r="K44" s="50"/>
      <c r="L44" s="103"/>
      <c r="M44" s="139"/>
      <c r="N44" s="103"/>
      <c r="O44" s="139"/>
      <c r="P44" s="103"/>
      <c r="Q44" s="139">
        <v>1554912</v>
      </c>
    </row>
    <row r="45" spans="2:17" ht="16.5" customHeight="1" x14ac:dyDescent="0.25">
      <c r="B45" s="9" t="s">
        <v>157</v>
      </c>
      <c r="C45" s="101"/>
      <c r="D45" s="101"/>
      <c r="E45" s="18"/>
      <c r="F45" s="131"/>
      <c r="G45" s="132"/>
      <c r="H45" s="127"/>
      <c r="I45" s="270"/>
      <c r="J45" s="271"/>
      <c r="K45" s="132"/>
      <c r="L45" s="127"/>
      <c r="M45" s="141"/>
      <c r="N45" s="127"/>
      <c r="O45" s="141"/>
      <c r="P45" s="127"/>
      <c r="Q45" s="141">
        <v>576540</v>
      </c>
    </row>
    <row r="46" spans="2:17" ht="15.75" x14ac:dyDescent="0.25">
      <c r="B46" s="142" t="s">
        <v>33</v>
      </c>
      <c r="C46" s="33"/>
      <c r="D46" s="33"/>
      <c r="E46" s="33"/>
      <c r="F46" s="135">
        <f>SUM(F34:F45)</f>
        <v>9865219.14301759</v>
      </c>
      <c r="G46" s="135">
        <f>SUM(G34:G45)</f>
        <v>24975638</v>
      </c>
      <c r="H46" s="135"/>
      <c r="I46" s="272">
        <f>SUM(I34:I45)</f>
        <v>30714271</v>
      </c>
      <c r="J46" s="280">
        <f>SUM(J34:J45)</f>
        <v>29916546</v>
      </c>
      <c r="K46" s="135">
        <f>SUM(K34:K45)</f>
        <v>22994130</v>
      </c>
      <c r="L46" s="135"/>
      <c r="M46" s="135">
        <f>SUM(M34:M45)</f>
        <v>26869380</v>
      </c>
      <c r="N46" s="135"/>
      <c r="O46" s="135">
        <f>SUM(O34:O45)</f>
        <v>35124574</v>
      </c>
      <c r="P46" s="135"/>
      <c r="Q46" s="135">
        <f>SUM(Q34:Q45)</f>
        <v>37358647</v>
      </c>
    </row>
    <row r="47" spans="2:17" x14ac:dyDescent="0.2">
      <c r="B47" s="7" t="s">
        <v>11</v>
      </c>
      <c r="C47" s="21"/>
      <c r="D47" s="103"/>
      <c r="E47" s="21"/>
      <c r="F47" s="135">
        <v>2634781.104609929</v>
      </c>
      <c r="G47" s="118">
        <v>6417156</v>
      </c>
      <c r="H47" s="118"/>
      <c r="I47" s="273">
        <v>7256038</v>
      </c>
      <c r="J47" s="274">
        <v>7065090</v>
      </c>
      <c r="K47" s="118">
        <v>5464091</v>
      </c>
      <c r="L47" s="118"/>
      <c r="M47" s="118">
        <v>5972111</v>
      </c>
      <c r="N47" s="118"/>
      <c r="O47" s="118">
        <v>7813119</v>
      </c>
      <c r="P47" s="118"/>
      <c r="Q47" s="118">
        <v>7710499</v>
      </c>
    </row>
    <row r="48" spans="2:17" ht="16.5" thickBot="1" x14ac:dyDescent="0.3">
      <c r="B48" s="3" t="s">
        <v>12</v>
      </c>
      <c r="C48" s="21"/>
      <c r="D48" s="103"/>
      <c r="E48" s="21"/>
      <c r="F48" s="136">
        <f>SUM(F46:F47)</f>
        <v>12500000.247627519</v>
      </c>
      <c r="G48" s="136">
        <f>SUM(G46:G47)</f>
        <v>31392794</v>
      </c>
      <c r="H48" s="118"/>
      <c r="I48" s="275">
        <f>SUM(I46:I47)</f>
        <v>37970309</v>
      </c>
      <c r="J48" s="276">
        <f>SUM(J46:J47)</f>
        <v>36981636</v>
      </c>
      <c r="K48" s="136">
        <f>SUM(K46:K47)</f>
        <v>28458221</v>
      </c>
      <c r="L48" s="118"/>
      <c r="M48" s="136">
        <f>SUM(M46:M47)</f>
        <v>32841491</v>
      </c>
      <c r="N48" s="118"/>
      <c r="O48" s="136">
        <f>SUM(O46:O47)</f>
        <v>42937693</v>
      </c>
      <c r="P48" s="118"/>
      <c r="Q48" s="136">
        <f>SUM(Q46:Q47)</f>
        <v>45069146</v>
      </c>
    </row>
    <row r="49" spans="2:17" ht="15.75" thickTop="1" x14ac:dyDescent="0.2">
      <c r="B49" s="20"/>
      <c r="C49" s="21"/>
      <c r="D49" s="103"/>
      <c r="E49" s="21"/>
      <c r="F49" s="103"/>
      <c r="G49" s="103"/>
      <c r="H49" s="103"/>
      <c r="I49" s="104"/>
      <c r="J49" s="103">
        <f>J48+I48</f>
        <v>74951945</v>
      </c>
      <c r="K49" s="104"/>
      <c r="L49" s="103"/>
      <c r="M49" s="104"/>
      <c r="N49" s="104"/>
      <c r="O49" s="104"/>
      <c r="P49" s="104"/>
      <c r="Q49" s="104"/>
    </row>
    <row r="50" spans="2:17" x14ac:dyDescent="0.2">
      <c r="B50" s="20"/>
      <c r="C50" s="21"/>
      <c r="D50" s="103"/>
      <c r="E50" s="21"/>
      <c r="F50" s="103"/>
      <c r="G50" s="103"/>
      <c r="H50" s="103"/>
      <c r="I50" s="104"/>
      <c r="J50" s="103"/>
      <c r="K50" s="251" t="s">
        <v>110</v>
      </c>
      <c r="L50" s="103"/>
      <c r="M50" s="251"/>
      <c r="N50" s="251"/>
      <c r="O50" s="251"/>
      <c r="P50" s="251"/>
      <c r="Q50" s="251"/>
    </row>
    <row r="51" spans="2:17" ht="31.5" x14ac:dyDescent="0.25">
      <c r="B51" s="124" t="s">
        <v>47</v>
      </c>
      <c r="C51" s="21"/>
      <c r="D51" s="103"/>
      <c r="E51" s="21"/>
      <c r="F51" s="125" t="s">
        <v>36</v>
      </c>
      <c r="G51" s="125" t="s">
        <v>48</v>
      </c>
      <c r="H51" s="137"/>
      <c r="I51" s="260" t="s">
        <v>172</v>
      </c>
      <c r="J51" s="137"/>
      <c r="K51" s="250" t="s">
        <v>98</v>
      </c>
      <c r="L51" s="137"/>
      <c r="M51" s="250" t="s">
        <v>118</v>
      </c>
      <c r="N51" s="284"/>
      <c r="O51" s="250" t="s">
        <v>127</v>
      </c>
      <c r="P51" s="284"/>
      <c r="Q51" s="250" t="s">
        <v>162</v>
      </c>
    </row>
    <row r="52" spans="2:17" x14ac:dyDescent="0.2">
      <c r="B52" s="9" t="s">
        <v>0</v>
      </c>
      <c r="C52" s="21"/>
      <c r="D52" s="103"/>
      <c r="E52" s="21"/>
      <c r="F52" s="133">
        <v>5278921.8760763733</v>
      </c>
      <c r="G52" s="134">
        <v>13239962</v>
      </c>
      <c r="H52" s="25"/>
      <c r="I52" s="138">
        <v>16143776</v>
      </c>
      <c r="J52" s="102"/>
      <c r="K52" s="138">
        <v>13653204</v>
      </c>
      <c r="L52" s="102"/>
      <c r="M52" s="138">
        <v>15990508</v>
      </c>
      <c r="N52" s="25"/>
      <c r="O52" s="138">
        <v>20751442</v>
      </c>
      <c r="P52" s="25"/>
      <c r="Q52" s="138">
        <v>15153110</v>
      </c>
    </row>
    <row r="53" spans="2:17" x14ac:dyDescent="0.2">
      <c r="B53" s="9" t="s">
        <v>1</v>
      </c>
      <c r="C53" s="21"/>
      <c r="D53" s="103"/>
      <c r="E53" s="21"/>
      <c r="F53" s="129">
        <v>2597341.8195432397</v>
      </c>
      <c r="G53" s="50">
        <v>6794636</v>
      </c>
      <c r="H53" s="103"/>
      <c r="I53" s="139">
        <v>8571245</v>
      </c>
      <c r="J53" s="102"/>
      <c r="K53" s="139">
        <v>4569796</v>
      </c>
      <c r="L53" s="102"/>
      <c r="M53" s="139">
        <v>5377974</v>
      </c>
      <c r="N53" s="103"/>
      <c r="O53" s="139">
        <v>6867024</v>
      </c>
      <c r="P53" s="103"/>
      <c r="Q53" s="139">
        <v>6650596</v>
      </c>
    </row>
    <row r="54" spans="2:17" x14ac:dyDescent="0.2">
      <c r="B54" s="9" t="s">
        <v>2</v>
      </c>
      <c r="C54" s="21"/>
      <c r="D54" s="103"/>
      <c r="E54" s="21"/>
      <c r="F54" s="129">
        <v>3538000.7487832238</v>
      </c>
      <c r="G54" s="50">
        <v>8631328</v>
      </c>
      <c r="H54" s="103"/>
      <c r="I54" s="139">
        <v>9987143</v>
      </c>
      <c r="J54" s="102"/>
      <c r="K54" s="139">
        <v>7866044</v>
      </c>
      <c r="L54" s="102"/>
      <c r="M54" s="139">
        <v>8850608</v>
      </c>
      <c r="N54" s="103"/>
      <c r="O54" s="139">
        <v>11465924</v>
      </c>
      <c r="P54" s="103"/>
      <c r="Q54" s="139">
        <v>11391038</v>
      </c>
    </row>
    <row r="55" spans="2:17" x14ac:dyDescent="0.2">
      <c r="B55" s="9" t="s">
        <v>3</v>
      </c>
      <c r="C55" s="21"/>
      <c r="D55" s="25"/>
      <c r="E55" s="21"/>
      <c r="F55" s="129">
        <v>2981093.2235117904</v>
      </c>
      <c r="G55" s="130">
        <v>7538326</v>
      </c>
      <c r="H55" s="126"/>
      <c r="I55" s="140">
        <v>8824084</v>
      </c>
      <c r="J55" s="102"/>
      <c r="K55" s="140">
        <v>6611222</v>
      </c>
      <c r="L55" s="102"/>
      <c r="M55" s="140">
        <v>7365262</v>
      </c>
      <c r="N55" s="126"/>
      <c r="O55" s="140">
        <v>9486016</v>
      </c>
      <c r="P55" s="126"/>
      <c r="Q55" s="140">
        <v>8735460</v>
      </c>
    </row>
    <row r="56" spans="2:17" x14ac:dyDescent="0.2">
      <c r="B56" s="9" t="s">
        <v>7</v>
      </c>
      <c r="C56" s="19"/>
      <c r="D56" s="103"/>
      <c r="E56" s="19"/>
      <c r="F56" s="129">
        <v>467989.51703481795</v>
      </c>
      <c r="G56" s="50">
        <v>1205682</v>
      </c>
      <c r="H56" s="103"/>
      <c r="I56" s="139">
        <v>1605528</v>
      </c>
      <c r="J56" s="102"/>
      <c r="K56" s="139">
        <v>1151814</v>
      </c>
      <c r="L56" s="102"/>
      <c r="M56" s="139">
        <v>1331688</v>
      </c>
      <c r="N56" s="103"/>
      <c r="O56" s="139">
        <v>1691694</v>
      </c>
      <c r="P56" s="103"/>
      <c r="Q56" s="139">
        <v>1572382</v>
      </c>
    </row>
    <row r="57" spans="2:17" x14ac:dyDescent="0.2">
      <c r="B57" s="9" t="s">
        <v>8</v>
      </c>
      <c r="C57" s="19"/>
      <c r="D57" s="25"/>
      <c r="E57" s="19"/>
      <c r="F57" s="129">
        <v>107637.58891800814</v>
      </c>
      <c r="G57" s="50">
        <v>270434</v>
      </c>
      <c r="H57" s="103"/>
      <c r="I57" s="139">
        <v>303407</v>
      </c>
      <c r="J57" s="102"/>
      <c r="K57" s="139">
        <v>262202</v>
      </c>
      <c r="L57" s="102"/>
      <c r="M57" s="139">
        <v>460970</v>
      </c>
      <c r="N57" s="103"/>
      <c r="O57" s="139">
        <v>1040078</v>
      </c>
      <c r="P57" s="103"/>
      <c r="Q57" s="139">
        <v>850252</v>
      </c>
    </row>
    <row r="58" spans="2:17" x14ac:dyDescent="0.2">
      <c r="B58" s="9" t="s">
        <v>4</v>
      </c>
      <c r="C58" s="19"/>
      <c r="D58" s="19"/>
      <c r="E58" s="19"/>
      <c r="F58" s="129">
        <v>1988955.4473979764</v>
      </c>
      <c r="G58" s="50">
        <v>5352324</v>
      </c>
      <c r="H58" s="103"/>
      <c r="I58" s="139">
        <v>6384187</v>
      </c>
      <c r="J58" s="19"/>
      <c r="K58" s="139">
        <v>5084834</v>
      </c>
      <c r="L58" s="19"/>
      <c r="M58" s="139">
        <v>5941380</v>
      </c>
      <c r="N58" s="103"/>
      <c r="O58" s="139">
        <v>7806854</v>
      </c>
      <c r="P58" s="103"/>
      <c r="Q58" s="139">
        <v>13138130</v>
      </c>
    </row>
    <row r="59" spans="2:17" x14ac:dyDescent="0.2">
      <c r="B59" s="9" t="s">
        <v>5</v>
      </c>
      <c r="C59" s="19"/>
      <c r="D59" s="25"/>
      <c r="E59" s="19"/>
      <c r="F59" s="129">
        <v>575627.1059528261</v>
      </c>
      <c r="G59" s="50">
        <v>1588796</v>
      </c>
      <c r="H59" s="103"/>
      <c r="I59" s="139">
        <v>2035355</v>
      </c>
      <c r="J59" s="19"/>
      <c r="K59" s="139">
        <v>1666852</v>
      </c>
      <c r="L59" s="19"/>
      <c r="M59" s="139">
        <v>2263870</v>
      </c>
      <c r="N59" s="103"/>
      <c r="O59" s="139">
        <v>3057580</v>
      </c>
      <c r="P59" s="103"/>
      <c r="Q59" s="139">
        <v>4810326</v>
      </c>
    </row>
    <row r="60" spans="2:17" x14ac:dyDescent="0.2">
      <c r="B60" s="9" t="s">
        <v>6</v>
      </c>
      <c r="C60" s="19"/>
      <c r="D60" s="25"/>
      <c r="E60" s="19"/>
      <c r="F60" s="129">
        <v>2194870.8348932965</v>
      </c>
      <c r="G60" s="50">
        <v>5329788</v>
      </c>
      <c r="H60" s="103"/>
      <c r="I60" s="139">
        <v>6776087</v>
      </c>
      <c r="J60" s="19"/>
      <c r="K60" s="139">
        <v>5122292</v>
      </c>
      <c r="L60" s="19"/>
      <c r="M60" s="139">
        <v>6156500</v>
      </c>
      <c r="N60" s="103"/>
      <c r="O60" s="139">
        <v>5162798</v>
      </c>
      <c r="P60" s="103"/>
      <c r="Q60" s="139">
        <v>5276218</v>
      </c>
    </row>
    <row r="61" spans="2:17" x14ac:dyDescent="0.2">
      <c r="B61" s="9" t="s">
        <v>123</v>
      </c>
      <c r="C61" s="19"/>
      <c r="D61" s="25"/>
      <c r="E61" s="19"/>
      <c r="F61" s="129"/>
      <c r="G61" s="50"/>
      <c r="H61" s="103"/>
      <c r="I61" s="139"/>
      <c r="J61" s="19"/>
      <c r="K61" s="139"/>
      <c r="L61" s="19"/>
      <c r="M61" s="139"/>
      <c r="N61" s="103"/>
      <c r="O61" s="139">
        <v>2919738</v>
      </c>
      <c r="P61" s="103"/>
      <c r="Q61" s="139">
        <v>2876878</v>
      </c>
    </row>
    <row r="62" spans="2:17" x14ac:dyDescent="0.2">
      <c r="B62" s="9" t="s">
        <v>156</v>
      </c>
      <c r="C62" s="19"/>
      <c r="D62" s="25"/>
      <c r="E62" s="19"/>
      <c r="F62" s="129"/>
      <c r="G62" s="50"/>
      <c r="H62" s="103"/>
      <c r="I62" s="139"/>
      <c r="J62" s="19"/>
      <c r="K62" s="139"/>
      <c r="L62" s="19"/>
      <c r="M62" s="139"/>
      <c r="N62" s="103"/>
      <c r="O62" s="139"/>
      <c r="P62" s="103"/>
      <c r="Q62" s="139">
        <v>3109824</v>
      </c>
    </row>
    <row r="63" spans="2:17" x14ac:dyDescent="0.2">
      <c r="B63" s="9" t="s">
        <v>157</v>
      </c>
      <c r="C63" s="105"/>
      <c r="D63" s="105"/>
      <c r="E63" s="105"/>
      <c r="F63" s="131"/>
      <c r="G63" s="132"/>
      <c r="H63" s="127"/>
      <c r="I63" s="141"/>
      <c r="J63" s="19"/>
      <c r="K63" s="141"/>
      <c r="L63" s="19"/>
      <c r="M63" s="141"/>
      <c r="N63" s="127"/>
      <c r="O63" s="141"/>
      <c r="P63" s="127"/>
      <c r="Q63" s="141">
        <v>1153080</v>
      </c>
    </row>
    <row r="64" spans="2:17" ht="15.75" x14ac:dyDescent="0.25">
      <c r="B64" s="142" t="s">
        <v>33</v>
      </c>
      <c r="C64" s="106"/>
      <c r="D64" s="107"/>
      <c r="E64" s="106"/>
      <c r="F64" s="135">
        <f>SUM(F52:F63)</f>
        <v>19730438.162111551</v>
      </c>
      <c r="G64" s="135">
        <f>SUM(G52:G63)</f>
        <v>49951276</v>
      </c>
      <c r="H64" s="135"/>
      <c r="I64" s="135">
        <f>SUM(I52:I63)</f>
        <v>60630812</v>
      </c>
      <c r="J64" s="23"/>
      <c r="K64" s="135">
        <f>SUM(K52:K63)</f>
        <v>45988260</v>
      </c>
      <c r="L64" s="23"/>
      <c r="M64" s="135">
        <f>SUM(M52:M63)</f>
        <v>53738760</v>
      </c>
      <c r="N64" s="135"/>
      <c r="O64" s="135">
        <f>SUM(O52:O63)</f>
        <v>70249148</v>
      </c>
      <c r="P64" s="135"/>
      <c r="Q64" s="135">
        <f>SUM(Q52:Q63)</f>
        <v>74717294</v>
      </c>
    </row>
    <row r="65" spans="2:20" x14ac:dyDescent="0.2">
      <c r="B65" s="7" t="s">
        <v>11</v>
      </c>
      <c r="C65" s="106"/>
      <c r="D65" s="110"/>
      <c r="E65" s="106"/>
      <c r="F65" s="135">
        <v>5269562</v>
      </c>
      <c r="G65" s="118">
        <v>12834312</v>
      </c>
      <c r="H65" s="118"/>
      <c r="I65" s="118">
        <v>14321128</v>
      </c>
      <c r="J65" s="23"/>
      <c r="K65" s="118">
        <v>10928182</v>
      </c>
      <c r="L65" s="23"/>
      <c r="M65" s="118">
        <v>11944222</v>
      </c>
      <c r="N65" s="118"/>
      <c r="O65" s="118">
        <v>15626238</v>
      </c>
      <c r="P65" s="118"/>
      <c r="Q65" s="118">
        <v>15420998</v>
      </c>
    </row>
    <row r="66" spans="2:20" ht="16.5" thickBot="1" x14ac:dyDescent="0.3">
      <c r="B66" s="3" t="s">
        <v>12</v>
      </c>
      <c r="C66" s="106"/>
      <c r="D66" s="110"/>
      <c r="E66" s="106"/>
      <c r="F66" s="136">
        <f>SUM(F64:F65)</f>
        <v>25000000.162111551</v>
      </c>
      <c r="G66" s="136">
        <f>SUM(G64:G65)</f>
        <v>62785588</v>
      </c>
      <c r="H66" s="118"/>
      <c r="I66" s="136">
        <f>SUM(I64:I65)</f>
        <v>74951940</v>
      </c>
      <c r="J66" s="23"/>
      <c r="K66" s="136">
        <f>SUM(K64:K65)</f>
        <v>56916442</v>
      </c>
      <c r="L66" s="23"/>
      <c r="M66" s="136">
        <f>SUM(M64:M65)</f>
        <v>65682982</v>
      </c>
      <c r="N66" s="118"/>
      <c r="O66" s="136">
        <f>SUM(O64:O65)</f>
        <v>85875386</v>
      </c>
      <c r="P66" s="118"/>
      <c r="Q66" s="136">
        <f>SUM(Q64:Q65)</f>
        <v>90138292</v>
      </c>
    </row>
    <row r="67" spans="2:20" ht="15.75" thickTop="1" x14ac:dyDescent="0.2">
      <c r="B67" s="20" t="s">
        <v>61</v>
      </c>
      <c r="C67" s="106"/>
      <c r="D67" s="110"/>
      <c r="E67" s="106"/>
      <c r="F67" s="128"/>
      <c r="G67" s="206">
        <f>(G66-F66)/F66</f>
        <v>1.5114235037147696</v>
      </c>
      <c r="H67" s="128"/>
      <c r="I67" s="109"/>
      <c r="J67" s="23"/>
      <c r="K67" s="109"/>
      <c r="L67" s="109"/>
      <c r="M67" s="109"/>
      <c r="N67" s="109"/>
      <c r="O67" s="19"/>
      <c r="P67" s="19"/>
      <c r="Q67" s="19"/>
    </row>
    <row r="68" spans="2:20" x14ac:dyDescent="0.2">
      <c r="B68" s="20"/>
      <c r="C68" s="106"/>
      <c r="D68" s="110"/>
      <c r="E68" s="106"/>
      <c r="F68" s="128"/>
      <c r="G68" s="128"/>
      <c r="H68" s="128"/>
      <c r="I68" s="109"/>
      <c r="J68" s="23"/>
      <c r="K68" s="109"/>
      <c r="L68" s="109"/>
      <c r="M68" s="109"/>
      <c r="N68" s="109"/>
      <c r="O68" s="19"/>
      <c r="P68" s="19"/>
      <c r="Q68" s="19"/>
    </row>
    <row r="69" spans="2:20" x14ac:dyDescent="0.2">
      <c r="B69" s="20"/>
      <c r="C69" s="106"/>
      <c r="D69" s="110"/>
      <c r="E69" s="106"/>
      <c r="F69" s="128"/>
      <c r="G69" s="128"/>
      <c r="H69" s="128"/>
      <c r="I69" s="109"/>
      <c r="J69" s="23"/>
      <c r="K69" s="19"/>
      <c r="L69" s="19"/>
      <c r="M69" s="19"/>
      <c r="N69" s="19"/>
      <c r="O69" s="19"/>
      <c r="P69" s="19"/>
      <c r="Q69" s="19"/>
    </row>
    <row r="70" spans="2:20" x14ac:dyDescent="0.2">
      <c r="B70" s="20"/>
      <c r="C70" s="106">
        <v>5148</v>
      </c>
      <c r="D70" s="110">
        <v>5044</v>
      </c>
      <c r="E70" s="106">
        <v>5166</v>
      </c>
      <c r="F70" s="106">
        <v>5342</v>
      </c>
      <c r="G70" s="106">
        <v>5572</v>
      </c>
      <c r="H70" s="106">
        <v>5723</v>
      </c>
      <c r="I70" s="23">
        <v>5944</v>
      </c>
      <c r="J70" s="23">
        <v>5802</v>
      </c>
      <c r="K70" s="19">
        <v>6078</v>
      </c>
      <c r="L70" s="19"/>
      <c r="M70" s="19">
        <v>6412</v>
      </c>
      <c r="N70" s="19"/>
      <c r="O70" s="19">
        <v>6853</v>
      </c>
      <c r="P70" s="19"/>
      <c r="Q70" s="19">
        <v>7739</v>
      </c>
    </row>
    <row r="71" spans="2:20" x14ac:dyDescent="0.2">
      <c r="B71" s="20"/>
      <c r="C71" s="106"/>
      <c r="D71" s="110"/>
      <c r="E71" s="106"/>
      <c r="F71" s="106"/>
      <c r="G71" s="106"/>
      <c r="H71" s="106"/>
      <c r="I71" s="109"/>
      <c r="J71" s="23"/>
      <c r="K71" s="19"/>
      <c r="L71" s="19"/>
      <c r="M71" s="19"/>
      <c r="N71" s="19"/>
      <c r="O71" s="19"/>
      <c r="P71" s="19"/>
      <c r="Q71" s="19"/>
    </row>
    <row r="72" spans="2:20" x14ac:dyDescent="0.2">
      <c r="B72" s="23"/>
      <c r="C72" s="106"/>
      <c r="D72" s="111"/>
      <c r="E72" s="106"/>
      <c r="F72" s="111"/>
      <c r="G72" s="229">
        <v>15000</v>
      </c>
      <c r="H72" s="106"/>
      <c r="I72" s="229">
        <v>15000</v>
      </c>
      <c r="J72" s="23"/>
      <c r="K72" s="229">
        <v>15000</v>
      </c>
      <c r="L72" s="23"/>
      <c r="M72" s="229">
        <v>15000</v>
      </c>
      <c r="N72" s="106"/>
      <c r="O72" s="229">
        <v>15000</v>
      </c>
      <c r="P72" s="106"/>
      <c r="Q72" s="229">
        <v>15000</v>
      </c>
    </row>
    <row r="73" spans="2:20" x14ac:dyDescent="0.2">
      <c r="B73" s="24"/>
      <c r="C73" s="106"/>
      <c r="D73" s="112"/>
      <c r="E73" s="106"/>
      <c r="F73" s="106"/>
      <c r="G73" s="230">
        <f>G29/G72</f>
        <v>0.3756017422066027</v>
      </c>
      <c r="H73" s="106"/>
      <c r="I73" s="230">
        <f>I29/I72</f>
        <v>0.42032267833109016</v>
      </c>
      <c r="J73" s="23"/>
      <c r="K73" s="230">
        <f>K29/K72</f>
        <v>0.31214456510575</v>
      </c>
      <c r="L73" s="23"/>
      <c r="M73" s="230">
        <f>M29/M72</f>
        <v>0.34145862784460668</v>
      </c>
      <c r="N73" s="206"/>
      <c r="O73" s="230">
        <f>O29/O72</f>
        <v>0.41770214870156963</v>
      </c>
      <c r="P73" s="206"/>
      <c r="Q73" s="230">
        <f>Q29/Q72</f>
        <v>0.38824263367540301</v>
      </c>
    </row>
    <row r="74" spans="2:20" x14ac:dyDescent="0.2">
      <c r="B74" s="23"/>
      <c r="C74" s="106"/>
      <c r="D74" s="108"/>
      <c r="E74" s="106"/>
      <c r="F74" s="106"/>
      <c r="G74" s="231"/>
      <c r="H74" s="106"/>
      <c r="I74" s="233"/>
      <c r="J74" s="23"/>
      <c r="K74" s="233"/>
      <c r="L74" s="23"/>
      <c r="M74" s="233"/>
      <c r="N74" s="109"/>
      <c r="O74" s="233"/>
      <c r="P74" s="109"/>
      <c r="Q74" s="233"/>
    </row>
    <row r="75" spans="2:20" x14ac:dyDescent="0.2">
      <c r="B75" s="23"/>
      <c r="C75" s="106"/>
      <c r="D75" s="108"/>
      <c r="E75" s="106"/>
      <c r="F75" s="106"/>
      <c r="G75" s="232" t="s">
        <v>99</v>
      </c>
      <c r="H75" s="106"/>
      <c r="I75" s="232" t="s">
        <v>99</v>
      </c>
      <c r="J75" s="23"/>
      <c r="K75" s="232" t="s">
        <v>99</v>
      </c>
      <c r="L75" s="23"/>
      <c r="M75" s="232" t="s">
        <v>99</v>
      </c>
      <c r="N75" s="109"/>
      <c r="O75" s="232" t="s">
        <v>99</v>
      </c>
      <c r="P75" s="109"/>
      <c r="Q75" s="232" t="s">
        <v>99</v>
      </c>
    </row>
    <row r="76" spans="2:20" x14ac:dyDescent="0.2">
      <c r="B76" s="23"/>
      <c r="C76" s="106"/>
      <c r="D76" s="108"/>
      <c r="E76" s="106"/>
      <c r="F76" s="108"/>
      <c r="G76" s="106"/>
      <c r="H76" s="106"/>
      <c r="I76" s="113"/>
      <c r="J76" s="23"/>
      <c r="K76" s="19"/>
      <c r="L76" s="19"/>
      <c r="M76" s="19"/>
      <c r="N76" s="19"/>
      <c r="O76" s="19"/>
      <c r="P76" s="19"/>
      <c r="Q76" s="19"/>
    </row>
    <row r="77" spans="2:20" ht="17.25" customHeight="1" x14ac:dyDescent="0.2">
      <c r="B77" s="17" t="s">
        <v>35</v>
      </c>
      <c r="C77" s="123" t="s">
        <v>49</v>
      </c>
      <c r="D77" s="123" t="s">
        <v>50</v>
      </c>
      <c r="E77" s="123" t="s">
        <v>51</v>
      </c>
      <c r="F77" s="123" t="s">
        <v>25</v>
      </c>
      <c r="G77" s="123" t="s">
        <v>23</v>
      </c>
      <c r="H77" s="123" t="s">
        <v>55</v>
      </c>
      <c r="I77" s="123" t="s">
        <v>56</v>
      </c>
      <c r="J77" s="123" t="s">
        <v>97</v>
      </c>
      <c r="K77" s="123" t="s">
        <v>108</v>
      </c>
      <c r="L77" s="123" t="s">
        <v>113</v>
      </c>
      <c r="M77" s="123" t="s">
        <v>117</v>
      </c>
      <c r="N77" s="123" t="s">
        <v>122</v>
      </c>
      <c r="O77" s="123" t="s">
        <v>126</v>
      </c>
      <c r="P77" s="123" t="s">
        <v>153</v>
      </c>
      <c r="Q77" s="123" t="s">
        <v>164</v>
      </c>
      <c r="R77" s="117"/>
      <c r="T77" s="105"/>
    </row>
    <row r="78" spans="2:20" x14ac:dyDescent="0.2">
      <c r="B78" s="19" t="s">
        <v>124</v>
      </c>
      <c r="C78" s="105"/>
      <c r="D78" s="105"/>
      <c r="E78" s="105"/>
      <c r="F78" s="105"/>
      <c r="G78" s="105"/>
      <c r="H78" s="19">
        <v>338</v>
      </c>
      <c r="I78" s="19">
        <v>351</v>
      </c>
      <c r="J78" s="19">
        <v>344</v>
      </c>
      <c r="K78" s="19">
        <v>360</v>
      </c>
      <c r="L78" s="19">
        <v>193</v>
      </c>
      <c r="M78" s="19">
        <v>380</v>
      </c>
      <c r="N78" s="19"/>
      <c r="O78" s="19"/>
      <c r="P78" s="19"/>
      <c r="Q78" s="19"/>
    </row>
    <row r="79" spans="2:20" x14ac:dyDescent="0.2">
      <c r="B79" s="19" t="s">
        <v>125</v>
      </c>
      <c r="C79" s="105"/>
      <c r="D79" s="105"/>
      <c r="E79" s="105"/>
      <c r="F79" s="114"/>
      <c r="G79" s="105"/>
      <c r="H79" s="14">
        <v>169</v>
      </c>
      <c r="I79" s="14">
        <v>185</v>
      </c>
      <c r="J79" s="14">
        <v>185</v>
      </c>
      <c r="K79" s="14">
        <v>187</v>
      </c>
      <c r="L79" s="14">
        <v>371</v>
      </c>
      <c r="M79" s="14">
        <v>221</v>
      </c>
      <c r="N79" s="19"/>
      <c r="O79" s="19"/>
      <c r="P79" s="19"/>
      <c r="Q79" s="19"/>
    </row>
    <row r="80" spans="2:20" x14ac:dyDescent="0.2">
      <c r="B80" s="20"/>
      <c r="C80" s="19"/>
      <c r="D80" s="21"/>
      <c r="E80" s="19"/>
      <c r="F80" s="19"/>
      <c r="G80" s="19"/>
      <c r="H80" s="19">
        <f t="shared" ref="H80:M80" si="18">SUM(H78:H79)</f>
        <v>507</v>
      </c>
      <c r="I80" s="19">
        <f t="shared" si="18"/>
        <v>536</v>
      </c>
      <c r="J80" s="19">
        <f t="shared" si="18"/>
        <v>529</v>
      </c>
      <c r="K80" s="19">
        <f t="shared" si="18"/>
        <v>547</v>
      </c>
      <c r="L80" s="19">
        <f t="shared" si="18"/>
        <v>564</v>
      </c>
      <c r="M80" s="19">
        <f t="shared" si="18"/>
        <v>601</v>
      </c>
      <c r="N80" s="19"/>
      <c r="O80" s="19"/>
      <c r="P80" s="19"/>
      <c r="Q80" s="19"/>
    </row>
    <row r="81" spans="2:17" x14ac:dyDescent="0.2">
      <c r="B81" s="20"/>
      <c r="C81" s="19"/>
      <c r="D81" s="21"/>
      <c r="E81" s="19"/>
      <c r="F81" s="19"/>
      <c r="G81" s="19"/>
      <c r="H81" s="19"/>
      <c r="J81" s="19"/>
      <c r="K81" s="19"/>
      <c r="L81" s="19"/>
      <c r="M81" s="19"/>
      <c r="N81" s="19"/>
      <c r="O81" s="19"/>
      <c r="P81" s="19"/>
      <c r="Q81" s="19"/>
    </row>
    <row r="82" spans="2:17" x14ac:dyDescent="0.2">
      <c r="B82" s="20"/>
      <c r="C82" s="19"/>
      <c r="D82" s="21"/>
      <c r="E82" s="19"/>
      <c r="F82" s="19"/>
      <c r="G82" s="19"/>
      <c r="H82" s="19"/>
      <c r="J82" s="19" t="s">
        <v>124</v>
      </c>
      <c r="K82" s="19">
        <v>3371162</v>
      </c>
      <c r="L82" s="19"/>
      <c r="M82" s="19">
        <v>3892628</v>
      </c>
      <c r="N82" s="19"/>
      <c r="O82" s="19"/>
      <c r="P82" s="19"/>
      <c r="Q82" s="19"/>
    </row>
    <row r="83" spans="2:17" x14ac:dyDescent="0.2">
      <c r="B83" s="20"/>
      <c r="C83" s="19"/>
      <c r="D83" s="21"/>
      <c r="E83" s="19"/>
      <c r="F83" s="19"/>
      <c r="G83" s="19"/>
      <c r="H83" s="19"/>
      <c r="J83" s="19" t="s">
        <v>125</v>
      </c>
      <c r="K83" s="14">
        <v>1751130</v>
      </c>
      <c r="L83" s="19"/>
      <c r="M83" s="14">
        <v>2263872</v>
      </c>
      <c r="N83" s="19"/>
      <c r="O83" s="19"/>
      <c r="P83" s="19"/>
      <c r="Q83" s="19"/>
    </row>
    <row r="84" spans="2:17" x14ac:dyDescent="0.2">
      <c r="B84" s="20"/>
      <c r="C84" s="19"/>
      <c r="D84" s="21"/>
      <c r="E84" s="19"/>
      <c r="F84" s="19"/>
      <c r="G84" s="19"/>
      <c r="H84" s="19"/>
      <c r="J84" s="19"/>
      <c r="K84" s="19">
        <f>SUM(K82:K83)</f>
        <v>5122292</v>
      </c>
      <c r="L84" s="19"/>
      <c r="M84" s="19">
        <f>SUM(M82:M83)</f>
        <v>6156500</v>
      </c>
      <c r="N84" s="19"/>
      <c r="O84" s="19"/>
      <c r="P84" s="19"/>
      <c r="Q84" s="19"/>
    </row>
    <row r="85" spans="2:17" ht="45" x14ac:dyDescent="0.2">
      <c r="B85" s="20"/>
      <c r="C85" s="19"/>
      <c r="D85" s="21"/>
      <c r="E85" s="19"/>
      <c r="F85" s="19"/>
      <c r="G85" s="19"/>
      <c r="H85" s="19"/>
      <c r="I85" s="234" t="s">
        <v>101</v>
      </c>
      <c r="J85" s="19"/>
      <c r="K85" s="19"/>
      <c r="L85" s="19"/>
      <c r="M85" s="19"/>
      <c r="N85" s="19"/>
      <c r="O85" s="19"/>
      <c r="P85" s="19"/>
      <c r="Q85" s="19"/>
    </row>
    <row r="86" spans="2:17" x14ac:dyDescent="0.2">
      <c r="B86" s="20"/>
      <c r="C86" s="19"/>
      <c r="D86" s="21"/>
      <c r="E86" s="19"/>
      <c r="F86" s="19"/>
      <c r="G86" s="19"/>
      <c r="H86" s="19"/>
      <c r="I86" s="235" t="s">
        <v>100</v>
      </c>
      <c r="J86" s="19"/>
      <c r="K86" s="19"/>
      <c r="L86" s="19"/>
      <c r="M86" s="19"/>
      <c r="N86" s="19"/>
      <c r="O86" s="19"/>
      <c r="P86" s="19"/>
      <c r="Q86" s="19"/>
    </row>
    <row r="87" spans="2:17" x14ac:dyDescent="0.2">
      <c r="B87" s="20"/>
      <c r="C87" s="19"/>
      <c r="D87" s="21"/>
      <c r="E87" s="19"/>
      <c r="F87" s="19"/>
      <c r="G87" s="19"/>
      <c r="H87" s="19"/>
      <c r="I87" s="236">
        <v>115.90574499300776</v>
      </c>
      <c r="J87" s="19"/>
      <c r="K87" s="19"/>
      <c r="L87" s="19"/>
      <c r="M87" s="19"/>
      <c r="N87" s="19"/>
      <c r="O87" s="19"/>
      <c r="P87" s="19"/>
      <c r="Q87" s="19"/>
    </row>
    <row r="88" spans="2:17" x14ac:dyDescent="0.2">
      <c r="B88" s="20"/>
      <c r="C88" s="19"/>
      <c r="D88" s="21"/>
      <c r="E88" s="19"/>
      <c r="F88" s="19"/>
      <c r="G88" s="19"/>
      <c r="H88" s="19"/>
      <c r="I88" s="237">
        <f>(I87*I72)/100</f>
        <v>17385.861748951163</v>
      </c>
      <c r="J88" s="19"/>
      <c r="K88" s="19"/>
      <c r="L88" s="19"/>
      <c r="M88" s="19"/>
      <c r="N88" s="19"/>
      <c r="O88" s="19"/>
      <c r="P88" s="19"/>
      <c r="Q88" s="19"/>
    </row>
    <row r="89" spans="2:17" ht="30" x14ac:dyDescent="0.2">
      <c r="B89" s="20"/>
      <c r="C89" s="19"/>
      <c r="D89" s="21"/>
      <c r="E89" s="19"/>
      <c r="F89" s="19"/>
      <c r="G89" s="19"/>
      <c r="H89" s="19"/>
      <c r="I89" s="238" t="s">
        <v>102</v>
      </c>
      <c r="J89" s="19"/>
      <c r="K89" s="19"/>
      <c r="L89" s="19"/>
      <c r="M89" s="19"/>
      <c r="N89" s="19"/>
      <c r="O89" s="19"/>
      <c r="P89" s="19"/>
      <c r="Q89" s="19"/>
    </row>
    <row r="90" spans="2:17" x14ac:dyDescent="0.2">
      <c r="B90" s="20"/>
      <c r="C90" s="19"/>
      <c r="D90" s="21"/>
      <c r="E90" s="19"/>
      <c r="F90" s="19"/>
      <c r="G90" s="19"/>
      <c r="H90" s="19"/>
      <c r="I90" s="19">
        <f t="shared" ref="I90:I97" si="19">I$88*I7</f>
        <v>22201745.453410637</v>
      </c>
      <c r="J90" s="19"/>
      <c r="K90" s="19"/>
      <c r="L90" s="19"/>
      <c r="M90" s="19"/>
      <c r="N90" s="19"/>
      <c r="O90" s="19"/>
      <c r="P90" s="19"/>
      <c r="Q90" s="19"/>
    </row>
    <row r="91" spans="2:17" x14ac:dyDescent="0.2">
      <c r="B91" s="9" t="s">
        <v>0</v>
      </c>
      <c r="C91" s="19"/>
      <c r="D91" s="21"/>
      <c r="E91" s="19"/>
      <c r="F91" s="19"/>
      <c r="G91" s="19"/>
      <c r="H91" s="19"/>
      <c r="I91" s="19">
        <f t="shared" si="19"/>
        <v>11787614.265788889</v>
      </c>
      <c r="J91" s="19"/>
      <c r="K91" s="19"/>
      <c r="L91" s="19"/>
      <c r="M91" s="19"/>
      <c r="N91" s="19"/>
      <c r="O91" s="19"/>
      <c r="P91" s="19"/>
      <c r="Q91" s="19"/>
    </row>
    <row r="92" spans="2:17" x14ac:dyDescent="0.2">
      <c r="B92" s="9" t="s">
        <v>1</v>
      </c>
      <c r="C92" s="105"/>
      <c r="D92" s="119"/>
      <c r="E92" s="105"/>
      <c r="F92" s="105"/>
      <c r="G92" s="105"/>
      <c r="H92" s="19"/>
      <c r="I92" s="19">
        <f t="shared" si="19"/>
        <v>13734830.78167142</v>
      </c>
      <c r="J92" s="19"/>
      <c r="K92" s="19"/>
      <c r="L92" s="19"/>
      <c r="M92" s="19"/>
      <c r="N92" s="19"/>
      <c r="O92" s="19"/>
      <c r="P92" s="19"/>
      <c r="Q92" s="19"/>
    </row>
    <row r="93" spans="2:17" x14ac:dyDescent="0.2">
      <c r="B93" s="9" t="s">
        <v>2</v>
      </c>
      <c r="C93" s="105"/>
      <c r="D93" s="119"/>
      <c r="E93" s="105"/>
      <c r="F93" s="105"/>
      <c r="G93" s="105"/>
      <c r="H93" s="19"/>
      <c r="I93" s="19">
        <f t="shared" si="19"/>
        <v>12135331.500767913</v>
      </c>
      <c r="J93" s="19"/>
      <c r="K93" s="19"/>
      <c r="L93" s="19"/>
      <c r="M93" s="19"/>
      <c r="N93" s="19"/>
      <c r="O93" s="19"/>
      <c r="P93" s="19"/>
      <c r="Q93" s="19"/>
    </row>
    <row r="94" spans="2:17" x14ac:dyDescent="0.2">
      <c r="B94" s="9" t="s">
        <v>3</v>
      </c>
      <c r="C94" s="105"/>
      <c r="D94" s="119"/>
      <c r="E94" s="105"/>
      <c r="F94" s="105"/>
      <c r="G94" s="105"/>
      <c r="H94" s="19"/>
      <c r="I94" s="19">
        <f t="shared" si="19"/>
        <v>2208004.4421167979</v>
      </c>
      <c r="J94" s="19"/>
      <c r="K94" s="19"/>
      <c r="L94" s="19"/>
      <c r="M94" s="19"/>
      <c r="N94" s="19"/>
      <c r="O94" s="19"/>
      <c r="P94" s="19"/>
      <c r="Q94" s="19"/>
    </row>
    <row r="95" spans="2:17" x14ac:dyDescent="0.2">
      <c r="B95" s="9" t="s">
        <v>7</v>
      </c>
      <c r="C95" s="105"/>
      <c r="D95" s="111"/>
      <c r="E95" s="105"/>
      <c r="F95" s="111"/>
      <c r="G95" s="105"/>
      <c r="H95" s="19"/>
      <c r="I95" s="19">
        <f t="shared" si="19"/>
        <v>417260.68197482789</v>
      </c>
      <c r="J95" s="19"/>
      <c r="K95" s="19"/>
      <c r="L95" s="19"/>
      <c r="M95" s="19"/>
      <c r="N95" s="19"/>
      <c r="O95" s="19"/>
      <c r="P95" s="19"/>
      <c r="Q95" s="19"/>
    </row>
    <row r="96" spans="2:17" x14ac:dyDescent="0.2">
      <c r="B96" s="9" t="s">
        <v>8</v>
      </c>
      <c r="C96" s="105"/>
      <c r="D96" s="105"/>
      <c r="E96" s="105"/>
      <c r="F96" s="105"/>
      <c r="G96" s="105"/>
      <c r="H96" s="19"/>
      <c r="I96" s="19">
        <f t="shared" si="19"/>
        <v>8779860.1832203381</v>
      </c>
      <c r="J96" s="19"/>
      <c r="K96" s="19"/>
      <c r="L96" s="19"/>
      <c r="M96" s="19"/>
      <c r="N96" s="19"/>
      <c r="O96" s="19"/>
      <c r="P96" s="19"/>
      <c r="Q96" s="19"/>
    </row>
    <row r="97" spans="1:17" x14ac:dyDescent="0.2">
      <c r="B97" s="9" t="s">
        <v>4</v>
      </c>
      <c r="C97" s="105"/>
      <c r="D97" s="105"/>
      <c r="E97" s="105"/>
      <c r="F97" s="105"/>
      <c r="G97" s="105"/>
      <c r="H97" s="19"/>
      <c r="I97" s="19">
        <f t="shared" si="19"/>
        <v>2799123.7415811373</v>
      </c>
      <c r="J97" s="19"/>
      <c r="K97" s="19"/>
      <c r="L97" s="19"/>
      <c r="M97" s="19"/>
      <c r="N97" s="19"/>
      <c r="O97" s="19"/>
      <c r="P97" s="19"/>
      <c r="Q97" s="19"/>
    </row>
    <row r="98" spans="1:17" x14ac:dyDescent="0.2">
      <c r="B98" s="9" t="s">
        <v>5</v>
      </c>
      <c r="C98" s="105"/>
      <c r="D98" s="105"/>
      <c r="E98" s="105"/>
      <c r="F98" s="105"/>
      <c r="G98" s="105"/>
      <c r="H98" s="19"/>
      <c r="I98" s="19">
        <f>I$88*I18</f>
        <v>0</v>
      </c>
      <c r="J98" s="19"/>
      <c r="K98" s="19"/>
      <c r="L98" s="19"/>
      <c r="M98" s="19"/>
      <c r="N98" s="19"/>
      <c r="O98" s="19"/>
      <c r="P98" s="19"/>
      <c r="Q98" s="19"/>
    </row>
    <row r="99" spans="1:17" x14ac:dyDescent="0.2">
      <c r="B99" s="9" t="s">
        <v>6</v>
      </c>
      <c r="C99" s="105"/>
      <c r="D99" s="105"/>
      <c r="E99" s="105"/>
      <c r="F99" s="105"/>
      <c r="G99" s="105"/>
      <c r="H99" s="19"/>
      <c r="I99" s="14">
        <f>I$88*I19</f>
        <v>83382592.947969779</v>
      </c>
      <c r="J99" s="19"/>
      <c r="K99" s="19"/>
      <c r="L99" s="19"/>
      <c r="M99" s="19"/>
      <c r="N99" s="19"/>
      <c r="O99" s="19"/>
      <c r="P99" s="19"/>
      <c r="Q99" s="19"/>
    </row>
    <row r="100" spans="1:17" ht="15.75" x14ac:dyDescent="0.25">
      <c r="B100" s="142" t="s">
        <v>103</v>
      </c>
      <c r="C100" s="105"/>
      <c r="D100" s="105"/>
      <c r="E100" s="105"/>
      <c r="F100" s="105"/>
      <c r="G100" s="105"/>
      <c r="H100" s="19"/>
      <c r="I100" s="19">
        <f>SUM(I90:I99)</f>
        <v>157446363.99850175</v>
      </c>
      <c r="J100" s="19"/>
      <c r="K100" s="19"/>
      <c r="L100" s="19"/>
      <c r="M100" s="19"/>
      <c r="N100" s="19"/>
      <c r="O100" s="19"/>
      <c r="P100" s="19"/>
      <c r="Q100" s="19"/>
    </row>
    <row r="101" spans="1:17" x14ac:dyDescent="0.2">
      <c r="B101" s="19"/>
      <c r="C101" s="105"/>
      <c r="D101" s="105"/>
      <c r="E101" s="105"/>
      <c r="F101" s="105"/>
      <c r="G101" s="105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x14ac:dyDescent="0.2">
      <c r="B102" s="19"/>
      <c r="C102" s="19"/>
      <c r="D102" s="19"/>
      <c r="E102" s="19"/>
      <c r="F102" s="19"/>
      <c r="G102" s="19"/>
      <c r="H102" s="19"/>
      <c r="I102" s="19"/>
      <c r="J102" s="19"/>
    </row>
    <row r="105" spans="1:17" x14ac:dyDescent="0.2">
      <c r="C105" s="245">
        <v>2003</v>
      </c>
      <c r="D105" s="245">
        <v>2004</v>
      </c>
      <c r="E105" s="245">
        <v>2005</v>
      </c>
      <c r="F105" s="245">
        <v>2006</v>
      </c>
      <c r="G105" s="245">
        <v>2007</v>
      </c>
      <c r="H105" s="245">
        <v>2008</v>
      </c>
      <c r="I105" s="245">
        <v>2009</v>
      </c>
      <c r="J105" s="245">
        <v>2010</v>
      </c>
      <c r="K105" s="245">
        <v>2011</v>
      </c>
      <c r="L105" s="245">
        <v>2012</v>
      </c>
      <c r="M105" s="245">
        <v>2013</v>
      </c>
      <c r="N105" s="245">
        <v>2014</v>
      </c>
      <c r="O105" s="246">
        <v>2015</v>
      </c>
      <c r="P105" s="246"/>
      <c r="Q105" s="246">
        <v>2015</v>
      </c>
    </row>
    <row r="106" spans="1:17" ht="15.75" x14ac:dyDescent="0.25">
      <c r="A106" s="3" t="s">
        <v>151</v>
      </c>
    </row>
    <row r="107" spans="1:17" ht="15.75" x14ac:dyDescent="0.25">
      <c r="A107" s="3" t="s">
        <v>152</v>
      </c>
    </row>
    <row r="109" spans="1:17" x14ac:dyDescent="0.2">
      <c r="B109" s="1" t="s">
        <v>131</v>
      </c>
      <c r="C109" s="1">
        <f t="shared" ref="C109:N109" si="20">SUM(C7:C19)</f>
        <v>8120</v>
      </c>
      <c r="D109" s="1">
        <f t="shared" si="20"/>
        <v>7926</v>
      </c>
      <c r="E109" s="1">
        <f t="shared" si="20"/>
        <v>8168</v>
      </c>
      <c r="F109" s="1">
        <f t="shared" si="20"/>
        <v>8432</v>
      </c>
      <c r="G109" s="1">
        <f t="shared" si="20"/>
        <v>8866</v>
      </c>
      <c r="H109" s="1">
        <f t="shared" si="20"/>
        <v>9152</v>
      </c>
      <c r="I109" s="1">
        <f t="shared" si="20"/>
        <v>9592</v>
      </c>
      <c r="J109" s="1">
        <f t="shared" si="20"/>
        <v>9348</v>
      </c>
      <c r="K109" s="1">
        <f t="shared" si="20"/>
        <v>9822</v>
      </c>
      <c r="L109" s="1">
        <f t="shared" si="20"/>
        <v>10044</v>
      </c>
      <c r="M109" s="1">
        <f t="shared" si="20"/>
        <v>10492</v>
      </c>
      <c r="N109" s="1">
        <f t="shared" si="20"/>
        <v>10866</v>
      </c>
      <c r="O109" s="1">
        <f>SUM(O7:O19)</f>
        <v>11212</v>
      </c>
      <c r="Q109" s="1">
        <f>SUM(Q7:Q19)</f>
        <v>12830</v>
      </c>
    </row>
    <row r="110" spans="1:17" x14ac:dyDescent="0.2">
      <c r="A110" s="221" t="s">
        <v>148</v>
      </c>
    </row>
    <row r="111" spans="1:17" ht="15.75" x14ac:dyDescent="0.25">
      <c r="A111" s="221" t="s">
        <v>149</v>
      </c>
      <c r="B111" s="3" t="s">
        <v>134</v>
      </c>
    </row>
    <row r="112" spans="1:17" x14ac:dyDescent="0.2">
      <c r="A112" s="301">
        <v>30</v>
      </c>
      <c r="B112" s="9" t="s">
        <v>0</v>
      </c>
      <c r="C112" s="1">
        <f t="shared" ref="C112:Q112" si="21">C$7</f>
        <v>1154</v>
      </c>
      <c r="D112" s="1">
        <f t="shared" si="21"/>
        <v>1149</v>
      </c>
      <c r="E112" s="1">
        <f t="shared" si="21"/>
        <v>1190</v>
      </c>
      <c r="F112" s="1">
        <f t="shared" si="21"/>
        <v>1128</v>
      </c>
      <c r="G112" s="1">
        <f t="shared" si="21"/>
        <v>1175</v>
      </c>
      <c r="H112" s="1">
        <f t="shared" si="21"/>
        <v>1200</v>
      </c>
      <c r="I112" s="1">
        <f t="shared" si="21"/>
        <v>1277</v>
      </c>
      <c r="J112" s="1">
        <f t="shared" si="21"/>
        <v>1294</v>
      </c>
      <c r="K112" s="1">
        <f t="shared" si="21"/>
        <v>1458</v>
      </c>
      <c r="L112" s="1">
        <f t="shared" si="21"/>
        <v>1473</v>
      </c>
      <c r="M112" s="1">
        <f t="shared" si="21"/>
        <v>1561</v>
      </c>
      <c r="N112" s="1">
        <f t="shared" si="21"/>
        <v>1601</v>
      </c>
      <c r="O112" s="1">
        <f t="shared" si="21"/>
        <v>1656</v>
      </c>
      <c r="Q112" s="1">
        <f t="shared" si="21"/>
        <v>1301</v>
      </c>
    </row>
    <row r="113" spans="1:17" x14ac:dyDescent="0.2">
      <c r="A113" s="301">
        <v>40</v>
      </c>
      <c r="B113" s="9" t="s">
        <v>3</v>
      </c>
      <c r="C113" s="1">
        <f t="shared" ref="C113:Q113" si="22">C$10</f>
        <v>612</v>
      </c>
      <c r="D113" s="1">
        <f t="shared" si="22"/>
        <v>529</v>
      </c>
      <c r="E113" s="1">
        <f t="shared" si="22"/>
        <v>541</v>
      </c>
      <c r="F113" s="1">
        <f t="shared" si="22"/>
        <v>637</v>
      </c>
      <c r="G113" s="1">
        <f t="shared" si="22"/>
        <v>669</v>
      </c>
      <c r="H113" s="1">
        <f t="shared" si="22"/>
        <v>658</v>
      </c>
      <c r="I113" s="1">
        <f t="shared" si="22"/>
        <v>698</v>
      </c>
      <c r="J113" s="1">
        <f t="shared" si="22"/>
        <v>699</v>
      </c>
      <c r="K113" s="1">
        <f t="shared" si="22"/>
        <v>706</v>
      </c>
      <c r="L113" s="1">
        <f t="shared" si="22"/>
        <v>714</v>
      </c>
      <c r="M113" s="1">
        <f t="shared" si="22"/>
        <v>719</v>
      </c>
      <c r="N113" s="1">
        <f t="shared" si="22"/>
        <v>725</v>
      </c>
      <c r="O113" s="1">
        <f t="shared" si="22"/>
        <v>757</v>
      </c>
      <c r="Q113" s="1">
        <f t="shared" si="22"/>
        <v>750</v>
      </c>
    </row>
    <row r="114" spans="1:17" x14ac:dyDescent="0.2">
      <c r="A114" s="301">
        <v>89</v>
      </c>
      <c r="B114" s="9" t="s">
        <v>4</v>
      </c>
      <c r="C114" s="1">
        <f t="shared" ref="C114:Q114" si="23">C$13</f>
        <v>296</v>
      </c>
      <c r="D114" s="1">
        <f t="shared" si="23"/>
        <v>301</v>
      </c>
      <c r="E114" s="1">
        <f t="shared" si="23"/>
        <v>318</v>
      </c>
      <c r="F114" s="1">
        <f t="shared" si="23"/>
        <v>425</v>
      </c>
      <c r="G114" s="1">
        <f t="shared" si="23"/>
        <v>475</v>
      </c>
      <c r="H114" s="1">
        <f t="shared" si="23"/>
        <v>517</v>
      </c>
      <c r="I114" s="1">
        <f t="shared" si="23"/>
        <v>505</v>
      </c>
      <c r="J114" s="1">
        <f t="shared" si="23"/>
        <v>518</v>
      </c>
      <c r="K114" s="1">
        <f t="shared" si="23"/>
        <v>543</v>
      </c>
      <c r="L114" s="1">
        <f t="shared" si="23"/>
        <v>558</v>
      </c>
      <c r="M114" s="1">
        <f t="shared" si="23"/>
        <v>580</v>
      </c>
      <c r="N114" s="1">
        <f t="shared" si="23"/>
        <v>615</v>
      </c>
      <c r="O114" s="1">
        <f t="shared" si="23"/>
        <v>623</v>
      </c>
      <c r="Q114" s="1">
        <f t="shared" si="23"/>
        <v>1128</v>
      </c>
    </row>
    <row r="115" spans="1:17" x14ac:dyDescent="0.2">
      <c r="A115" s="301">
        <v>130</v>
      </c>
      <c r="B115" s="9" t="s">
        <v>5</v>
      </c>
      <c r="C115" s="1">
        <f t="shared" ref="C115:Q115" si="24">C$14</f>
        <v>127</v>
      </c>
      <c r="D115" s="1">
        <f t="shared" si="24"/>
        <v>124</v>
      </c>
      <c r="E115" s="1">
        <f t="shared" si="24"/>
        <v>125</v>
      </c>
      <c r="F115" s="1">
        <f t="shared" si="24"/>
        <v>123</v>
      </c>
      <c r="G115" s="1">
        <f t="shared" si="24"/>
        <v>141</v>
      </c>
      <c r="H115" s="1">
        <f t="shared" si="24"/>
        <v>130</v>
      </c>
      <c r="I115" s="1">
        <f t="shared" si="24"/>
        <v>161</v>
      </c>
      <c r="J115" s="1">
        <f t="shared" si="24"/>
        <v>172</v>
      </c>
      <c r="K115" s="1">
        <f t="shared" si="24"/>
        <v>178</v>
      </c>
      <c r="L115" s="1">
        <f t="shared" si="24"/>
        <v>189</v>
      </c>
      <c r="M115" s="1">
        <f t="shared" si="24"/>
        <v>221</v>
      </c>
      <c r="N115" s="1">
        <f t="shared" si="24"/>
        <v>255</v>
      </c>
      <c r="O115" s="1">
        <f t="shared" si="24"/>
        <v>244</v>
      </c>
      <c r="Q115" s="1">
        <f t="shared" si="24"/>
        <v>413</v>
      </c>
    </row>
    <row r="116" spans="1:17" x14ac:dyDescent="0.2">
      <c r="A116" s="301">
        <v>404</v>
      </c>
      <c r="B116" s="9" t="s">
        <v>8</v>
      </c>
      <c r="C116" s="1">
        <f t="shared" ref="C116:Q116" si="25">C$12</f>
        <v>23</v>
      </c>
      <c r="D116" s="1">
        <f t="shared" si="25"/>
        <v>24</v>
      </c>
      <c r="E116" s="1">
        <f t="shared" si="25"/>
        <v>23</v>
      </c>
      <c r="F116" s="1">
        <f t="shared" si="25"/>
        <v>23</v>
      </c>
      <c r="G116" s="1">
        <f t="shared" si="25"/>
        <v>24</v>
      </c>
      <c r="H116" s="1">
        <f t="shared" si="25"/>
        <v>24</v>
      </c>
      <c r="I116" s="1">
        <f t="shared" si="25"/>
        <v>24</v>
      </c>
      <c r="J116" s="1">
        <f t="shared" si="25"/>
        <v>26</v>
      </c>
      <c r="K116" s="1">
        <f t="shared" si="25"/>
        <v>28</v>
      </c>
      <c r="L116" s="1">
        <f t="shared" si="25"/>
        <v>29</v>
      </c>
      <c r="M116" s="1">
        <f t="shared" si="25"/>
        <v>45</v>
      </c>
      <c r="N116" s="1">
        <f t="shared" si="25"/>
        <v>64</v>
      </c>
      <c r="O116" s="1">
        <f t="shared" si="25"/>
        <v>83</v>
      </c>
      <c r="Q116" s="1">
        <f t="shared" si="25"/>
        <v>73</v>
      </c>
    </row>
    <row r="117" spans="1:17" x14ac:dyDescent="0.2">
      <c r="A117" s="301">
        <v>412</v>
      </c>
      <c r="B117" s="20" t="s">
        <v>6</v>
      </c>
      <c r="C117" s="19">
        <f>C$15</f>
        <v>491</v>
      </c>
      <c r="D117" s="19">
        <f>D$15</f>
        <v>491</v>
      </c>
      <c r="E117" s="19">
        <f>E$15</f>
        <v>497</v>
      </c>
      <c r="F117" s="19">
        <f>F$15</f>
        <v>469</v>
      </c>
      <c r="G117" s="19">
        <f>G$15</f>
        <v>473</v>
      </c>
      <c r="H117" s="19">
        <f t="shared" ref="H117:Q117" si="26">H$15+H$18</f>
        <v>338</v>
      </c>
      <c r="I117" s="19">
        <f t="shared" si="26"/>
        <v>351</v>
      </c>
      <c r="J117" s="19">
        <f t="shared" si="26"/>
        <v>344</v>
      </c>
      <c r="K117" s="19">
        <f t="shared" si="26"/>
        <v>360</v>
      </c>
      <c r="L117" s="19">
        <f t="shared" si="26"/>
        <v>371</v>
      </c>
      <c r="M117" s="19">
        <f t="shared" si="26"/>
        <v>380</v>
      </c>
      <c r="N117" s="19">
        <f t="shared" si="26"/>
        <v>396</v>
      </c>
      <c r="O117" s="19">
        <f t="shared" si="26"/>
        <v>412</v>
      </c>
      <c r="P117" s="19"/>
      <c r="Q117" s="19">
        <f t="shared" si="26"/>
        <v>552</v>
      </c>
    </row>
    <row r="118" spans="1:17" x14ac:dyDescent="0.2">
      <c r="A118" s="301">
        <v>11618</v>
      </c>
      <c r="B118" s="9" t="s">
        <v>2</v>
      </c>
      <c r="C118" s="1">
        <f t="shared" ref="C118:Q118" si="27">C$9</f>
        <v>699</v>
      </c>
      <c r="D118" s="1">
        <f t="shared" si="27"/>
        <v>725</v>
      </c>
      <c r="E118" s="1">
        <f t="shared" si="27"/>
        <v>741</v>
      </c>
      <c r="F118" s="1">
        <f t="shared" si="27"/>
        <v>756</v>
      </c>
      <c r="G118" s="1">
        <f t="shared" si="27"/>
        <v>766</v>
      </c>
      <c r="H118" s="1">
        <f t="shared" si="27"/>
        <v>774</v>
      </c>
      <c r="I118" s="1">
        <f t="shared" si="27"/>
        <v>790</v>
      </c>
      <c r="J118" s="1">
        <f t="shared" si="27"/>
        <v>847</v>
      </c>
      <c r="K118" s="1">
        <f t="shared" si="27"/>
        <v>840</v>
      </c>
      <c r="L118" s="1">
        <f t="shared" si="27"/>
        <v>848</v>
      </c>
      <c r="M118" s="1">
        <f t="shared" si="27"/>
        <v>864</v>
      </c>
      <c r="N118" s="1">
        <f t="shared" si="27"/>
        <v>892</v>
      </c>
      <c r="O118" s="1">
        <f t="shared" si="27"/>
        <v>915</v>
      </c>
      <c r="Q118" s="1">
        <f t="shared" si="27"/>
        <v>978</v>
      </c>
    </row>
    <row r="119" spans="1:17" x14ac:dyDescent="0.2">
      <c r="A119" s="301">
        <v>25554</v>
      </c>
      <c r="B119" s="9" t="s">
        <v>7</v>
      </c>
      <c r="C119" s="1">
        <f t="shared" ref="C119:Q119" si="28">C$11</f>
        <v>87</v>
      </c>
      <c r="D119" s="1">
        <f t="shared" si="28"/>
        <v>88</v>
      </c>
      <c r="E119" s="1">
        <f t="shared" si="28"/>
        <v>100</v>
      </c>
      <c r="F119" s="1">
        <f t="shared" si="28"/>
        <v>100</v>
      </c>
      <c r="G119" s="1">
        <f t="shared" si="28"/>
        <v>107</v>
      </c>
      <c r="H119" s="1">
        <f t="shared" si="28"/>
        <v>111</v>
      </c>
      <c r="I119" s="1">
        <f t="shared" si="28"/>
        <v>127</v>
      </c>
      <c r="J119" s="1">
        <f t="shared" si="28"/>
        <v>125</v>
      </c>
      <c r="K119" s="1">
        <f t="shared" si="28"/>
        <v>123</v>
      </c>
      <c r="L119" s="1">
        <f t="shared" si="28"/>
        <v>129</v>
      </c>
      <c r="M119" s="1">
        <f t="shared" si="28"/>
        <v>130</v>
      </c>
      <c r="N119" s="1">
        <f t="shared" si="28"/>
        <v>130</v>
      </c>
      <c r="O119" s="1">
        <f t="shared" si="28"/>
        <v>135</v>
      </c>
      <c r="Q119" s="1">
        <f t="shared" si="28"/>
        <v>135</v>
      </c>
    </row>
    <row r="120" spans="1:17" x14ac:dyDescent="0.2">
      <c r="A120" s="301">
        <v>104952</v>
      </c>
      <c r="B120" s="9" t="s">
        <v>1</v>
      </c>
      <c r="C120" s="14">
        <f t="shared" ref="C120:Q120" si="29">C$8</f>
        <v>571</v>
      </c>
      <c r="D120" s="14">
        <f t="shared" si="29"/>
        <v>532</v>
      </c>
      <c r="E120" s="14">
        <f t="shared" si="29"/>
        <v>549</v>
      </c>
      <c r="F120" s="14">
        <f t="shared" si="29"/>
        <v>555</v>
      </c>
      <c r="G120" s="14">
        <f t="shared" si="29"/>
        <v>603</v>
      </c>
      <c r="H120" s="14">
        <f t="shared" si="29"/>
        <v>655</v>
      </c>
      <c r="I120" s="14">
        <f t="shared" si="29"/>
        <v>678</v>
      </c>
      <c r="J120" s="14">
        <f t="shared" si="29"/>
        <v>464</v>
      </c>
      <c r="K120" s="14">
        <f t="shared" si="29"/>
        <v>488</v>
      </c>
      <c r="L120" s="14">
        <f t="shared" si="29"/>
        <v>518</v>
      </c>
      <c r="M120" s="14">
        <f t="shared" si="29"/>
        <v>525</v>
      </c>
      <c r="N120" s="14">
        <f t="shared" si="29"/>
        <v>529</v>
      </c>
      <c r="O120" s="14">
        <f t="shared" si="29"/>
        <v>548</v>
      </c>
      <c r="P120" s="14"/>
      <c r="Q120" s="14">
        <f t="shared" si="29"/>
        <v>571</v>
      </c>
    </row>
    <row r="121" spans="1:17" x14ac:dyDescent="0.2">
      <c r="A121" s="301"/>
      <c r="B121" s="1" t="s">
        <v>9</v>
      </c>
      <c r="C121" s="1">
        <f t="shared" ref="C121:Q121" si="30">SUM(C112:C120)</f>
        <v>4060</v>
      </c>
      <c r="D121" s="1">
        <f t="shared" si="30"/>
        <v>3963</v>
      </c>
      <c r="E121" s="1">
        <f t="shared" si="30"/>
        <v>4084</v>
      </c>
      <c r="F121" s="1">
        <f t="shared" si="30"/>
        <v>4216</v>
      </c>
      <c r="G121" s="1">
        <f t="shared" si="30"/>
        <v>4433</v>
      </c>
      <c r="H121" s="1">
        <f t="shared" si="30"/>
        <v>4407</v>
      </c>
      <c r="I121" s="1">
        <f t="shared" si="30"/>
        <v>4611</v>
      </c>
      <c r="J121" s="1">
        <f t="shared" si="30"/>
        <v>4489</v>
      </c>
      <c r="K121" s="1">
        <f t="shared" si="30"/>
        <v>4724</v>
      </c>
      <c r="L121" s="1">
        <f t="shared" si="30"/>
        <v>4829</v>
      </c>
      <c r="M121" s="1">
        <f t="shared" si="30"/>
        <v>5025</v>
      </c>
      <c r="N121" s="1">
        <f t="shared" si="30"/>
        <v>5207</v>
      </c>
      <c r="O121" s="1">
        <f t="shared" ref="O121" si="31">SUM(O112:O120)</f>
        <v>5373</v>
      </c>
      <c r="Q121" s="1">
        <f t="shared" si="30"/>
        <v>5901</v>
      </c>
    </row>
    <row r="123" spans="1:17" x14ac:dyDescent="0.2">
      <c r="C123" s="1">
        <f>SUM(C112:C121)</f>
        <v>8120</v>
      </c>
      <c r="D123" s="1">
        <f t="shared" ref="D123:N123" si="32">SUM(D112:D121)</f>
        <v>7926</v>
      </c>
      <c r="E123" s="1">
        <f t="shared" si="32"/>
        <v>8168</v>
      </c>
      <c r="F123" s="1">
        <f t="shared" si="32"/>
        <v>8432</v>
      </c>
      <c r="G123" s="1">
        <f t="shared" si="32"/>
        <v>8866</v>
      </c>
      <c r="H123" s="1">
        <f t="shared" si="32"/>
        <v>8814</v>
      </c>
      <c r="I123" s="1">
        <f t="shared" si="32"/>
        <v>9222</v>
      </c>
      <c r="J123" s="1">
        <f t="shared" si="32"/>
        <v>8978</v>
      </c>
      <c r="K123" s="1">
        <f t="shared" si="32"/>
        <v>9448</v>
      </c>
      <c r="L123" s="1">
        <f t="shared" si="32"/>
        <v>9658</v>
      </c>
      <c r="M123" s="1">
        <f t="shared" si="32"/>
        <v>10050</v>
      </c>
      <c r="N123" s="1">
        <f t="shared" si="32"/>
        <v>10414</v>
      </c>
      <c r="O123" s="1">
        <f>SUM(O112:O121)</f>
        <v>10746</v>
      </c>
      <c r="Q123" s="1">
        <f>SUM(Q112:Q121)</f>
        <v>11802</v>
      </c>
    </row>
    <row r="124" spans="1:17" x14ac:dyDescent="0.2">
      <c r="B124" s="1" t="s">
        <v>150</v>
      </c>
      <c r="C124" s="14">
        <v>588795</v>
      </c>
      <c r="D124" s="14">
        <v>588795</v>
      </c>
      <c r="E124" s="14">
        <v>588795</v>
      </c>
      <c r="F124" s="14">
        <v>588795</v>
      </c>
      <c r="G124" s="14">
        <v>588795</v>
      </c>
      <c r="H124" s="14">
        <v>588795</v>
      </c>
      <c r="I124" s="14">
        <v>588795</v>
      </c>
      <c r="J124" s="14">
        <v>588795</v>
      </c>
      <c r="K124" s="14">
        <v>588795</v>
      </c>
      <c r="L124" s="14">
        <v>588795</v>
      </c>
      <c r="M124" s="14">
        <v>589657</v>
      </c>
      <c r="N124" s="14">
        <v>589657</v>
      </c>
      <c r="O124" s="14">
        <v>589657</v>
      </c>
      <c r="P124" s="19"/>
    </row>
    <row r="125" spans="1:17" ht="15.75" x14ac:dyDescent="0.25">
      <c r="B125" s="3" t="s">
        <v>132</v>
      </c>
      <c r="C125" s="1">
        <f>SUM(C123:C124)</f>
        <v>596915</v>
      </c>
      <c r="D125" s="1">
        <f t="shared" ref="D125:N125" si="33">SUM(D123:D124)</f>
        <v>596721</v>
      </c>
      <c r="E125" s="1">
        <f t="shared" si="33"/>
        <v>596963</v>
      </c>
      <c r="F125" s="1">
        <f t="shared" si="33"/>
        <v>597227</v>
      </c>
      <c r="G125" s="1">
        <f t="shared" si="33"/>
        <v>597661</v>
      </c>
      <c r="H125" s="1">
        <f t="shared" si="33"/>
        <v>597609</v>
      </c>
      <c r="I125" s="1">
        <f t="shared" si="33"/>
        <v>598017</v>
      </c>
      <c r="J125" s="1">
        <f t="shared" si="33"/>
        <v>597773</v>
      </c>
      <c r="K125" s="1">
        <f t="shared" si="33"/>
        <v>598243</v>
      </c>
      <c r="L125" s="1">
        <f t="shared" si="33"/>
        <v>598453</v>
      </c>
      <c r="M125" s="1">
        <f t="shared" si="33"/>
        <v>599707</v>
      </c>
      <c r="N125" s="1">
        <f t="shared" si="33"/>
        <v>600071</v>
      </c>
      <c r="O125" s="1">
        <f t="shared" ref="O125" si="34">SUM(O123:O124)</f>
        <v>600403</v>
      </c>
    </row>
    <row r="127" spans="1:17" x14ac:dyDescent="0.2">
      <c r="C127" s="1">
        <f t="shared" ref="C127:Q127" si="35">C123-C109</f>
        <v>0</v>
      </c>
      <c r="D127" s="1">
        <f t="shared" si="35"/>
        <v>0</v>
      </c>
      <c r="E127" s="1">
        <f t="shared" si="35"/>
        <v>0</v>
      </c>
      <c r="F127" s="1">
        <f t="shared" si="35"/>
        <v>0</v>
      </c>
      <c r="G127" s="1">
        <f t="shared" si="35"/>
        <v>0</v>
      </c>
      <c r="H127" s="1">
        <f t="shared" si="35"/>
        <v>-338</v>
      </c>
      <c r="I127" s="1">
        <f t="shared" si="35"/>
        <v>-370</v>
      </c>
      <c r="J127" s="1">
        <f t="shared" si="35"/>
        <v>-370</v>
      </c>
      <c r="K127" s="1">
        <f t="shared" si="35"/>
        <v>-374</v>
      </c>
      <c r="L127" s="1">
        <f t="shared" si="35"/>
        <v>-386</v>
      </c>
      <c r="M127" s="1">
        <f t="shared" si="35"/>
        <v>-442</v>
      </c>
      <c r="N127" s="1">
        <f t="shared" si="35"/>
        <v>-452</v>
      </c>
      <c r="O127" s="1">
        <f t="shared" ref="O127" si="36">O123-O109</f>
        <v>-466</v>
      </c>
      <c r="Q127" s="1">
        <f t="shared" si="35"/>
        <v>-1028</v>
      </c>
    </row>
    <row r="129" spans="1:17" x14ac:dyDescent="0.2">
      <c r="B129" s="1" t="s">
        <v>147</v>
      </c>
      <c r="M129" s="1" t="s">
        <v>135</v>
      </c>
      <c r="N129" s="1">
        <f>SUM(C125:N125)</f>
        <v>7175360</v>
      </c>
      <c r="O129" s="1">
        <f>SUM(C125:O125)</f>
        <v>7775763</v>
      </c>
    </row>
    <row r="131" spans="1:17" x14ac:dyDescent="0.2">
      <c r="C131" s="1">
        <v>8120</v>
      </c>
      <c r="D131" s="1">
        <v>7926</v>
      </c>
      <c r="E131" s="1">
        <v>8168</v>
      </c>
      <c r="F131" s="1">
        <v>8432</v>
      </c>
      <c r="G131" s="1">
        <v>8866</v>
      </c>
      <c r="H131" s="1">
        <v>9152</v>
      </c>
      <c r="I131" s="1">
        <v>9592</v>
      </c>
      <c r="J131" s="1">
        <v>9348</v>
      </c>
      <c r="K131" s="1">
        <v>9822</v>
      </c>
      <c r="L131" s="1">
        <v>10044</v>
      </c>
      <c r="M131" s="1">
        <v>10492</v>
      </c>
      <c r="N131" s="1">
        <v>10866</v>
      </c>
      <c r="O131" s="1">
        <v>11212</v>
      </c>
      <c r="Q131" s="1">
        <v>11578</v>
      </c>
    </row>
    <row r="134" spans="1:17" x14ac:dyDescent="0.2">
      <c r="Q134" s="1" t="s">
        <v>155</v>
      </c>
    </row>
    <row r="140" spans="1:17" x14ac:dyDescent="0.2">
      <c r="A140" s="291">
        <v>390</v>
      </c>
      <c r="B140" s="292" t="s">
        <v>136</v>
      </c>
      <c r="C140" s="293" t="s">
        <v>137</v>
      </c>
      <c r="D140" s="294">
        <v>30</v>
      </c>
    </row>
    <row r="141" spans="1:17" x14ac:dyDescent="0.2">
      <c r="A141" s="291">
        <v>400</v>
      </c>
      <c r="B141" s="300" t="s">
        <v>145</v>
      </c>
      <c r="C141" s="293" t="s">
        <v>137</v>
      </c>
      <c r="D141" s="294">
        <v>104952</v>
      </c>
    </row>
    <row r="142" spans="1:17" x14ac:dyDescent="0.2">
      <c r="A142" s="291">
        <v>410</v>
      </c>
      <c r="B142" s="292" t="s">
        <v>143</v>
      </c>
      <c r="C142" s="293" t="s">
        <v>137</v>
      </c>
      <c r="D142" s="294">
        <v>11618</v>
      </c>
    </row>
    <row r="143" spans="1:17" x14ac:dyDescent="0.2">
      <c r="A143" s="291">
        <v>420</v>
      </c>
      <c r="B143" s="292" t="s">
        <v>138</v>
      </c>
      <c r="C143" s="293" t="s">
        <v>137</v>
      </c>
      <c r="D143" s="294">
        <v>40</v>
      </c>
    </row>
    <row r="144" spans="1:17" x14ac:dyDescent="0.2">
      <c r="A144" s="291">
        <v>430</v>
      </c>
      <c r="B144" s="292" t="s">
        <v>144</v>
      </c>
      <c r="C144" s="293" t="s">
        <v>137</v>
      </c>
      <c r="D144" s="294">
        <v>25554</v>
      </c>
    </row>
    <row r="145" spans="1:4" x14ac:dyDescent="0.2">
      <c r="A145" s="291">
        <v>440</v>
      </c>
      <c r="B145" s="292" t="s">
        <v>8</v>
      </c>
      <c r="C145" s="293" t="s">
        <v>137</v>
      </c>
      <c r="D145" s="294">
        <v>404</v>
      </c>
    </row>
    <row r="146" spans="1:4" x14ac:dyDescent="0.2">
      <c r="A146" s="291">
        <v>450</v>
      </c>
      <c r="B146" s="292" t="s">
        <v>139</v>
      </c>
      <c r="C146" s="293" t="s">
        <v>137</v>
      </c>
      <c r="D146" s="294">
        <v>89</v>
      </c>
    </row>
    <row r="147" spans="1:4" x14ac:dyDescent="0.2">
      <c r="A147" s="291">
        <v>460</v>
      </c>
      <c r="B147" s="292" t="s">
        <v>140</v>
      </c>
      <c r="C147" s="293" t="s">
        <v>137</v>
      </c>
      <c r="D147" s="294">
        <v>130</v>
      </c>
    </row>
    <row r="148" spans="1:4" x14ac:dyDescent="0.2">
      <c r="A148" s="291">
        <v>470</v>
      </c>
      <c r="B148" s="292" t="s">
        <v>141</v>
      </c>
      <c r="C148" s="293" t="s">
        <v>137</v>
      </c>
      <c r="D148" s="294">
        <v>412</v>
      </c>
    </row>
    <row r="149" spans="1:4" x14ac:dyDescent="0.2">
      <c r="A149" s="291">
        <v>490</v>
      </c>
      <c r="B149" s="295" t="s">
        <v>142</v>
      </c>
      <c r="C149" s="293" t="s">
        <v>137</v>
      </c>
      <c r="D149" s="294">
        <v>862</v>
      </c>
    </row>
    <row r="150" spans="1:4" ht="15.75" thickBot="1" x14ac:dyDescent="0.25">
      <c r="A150" s="296">
        <f>COUNTA(B140:B149)</f>
        <v>10</v>
      </c>
      <c r="B150" s="297" t="s">
        <v>146</v>
      </c>
      <c r="C150" s="298" t="s">
        <v>137</v>
      </c>
      <c r="D150" s="299">
        <v>445566</v>
      </c>
    </row>
    <row r="151" spans="1:4" ht="15.75" thickTop="1" x14ac:dyDescent="0.2"/>
  </sheetData>
  <sortState ref="A108:S116">
    <sortCondition ref="A108:A116"/>
  </sortState>
  <phoneticPr fontId="10" type="noConversion"/>
  <printOptions horizontalCentered="1"/>
  <pageMargins left="0.25" right="0.25" top="0.5" bottom="0.25" header="0.5" footer="0.5"/>
  <pageSetup scale="67" orientation="landscape" horizontalDpi="1200" verticalDpi="1200" r:id="rId1"/>
  <headerFooter alignWithMargins="0">
    <oddFooter>&amp;R&amp;8&amp;D</oddFooter>
  </headerFooter>
  <ignoredErrors>
    <ignoredError sqref="C6:P6" twoDigitTextYear="1"/>
    <ignoredError sqref="J4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LBB FY 18-19</vt:lpstr>
      <vt:lpstr>GME History</vt:lpstr>
      <vt:lpstr>'GME History'!Print_Area</vt:lpstr>
      <vt:lpstr>'LBB FY 18-19'!Print_Area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Advisory Committee - HRI Agenda Materials Aug 2017 Workbook 1</dc:title>
  <dc:subject>HRI FY 18-19 Formula Workbooks</dc:subject>
  <dc:creator>Strategic Planning and Funding</dc:creator>
  <cp:keywords>formula funding</cp:keywords>
  <cp:lastModifiedBy>kingcd</cp:lastModifiedBy>
  <cp:lastPrinted>2010-01-27T13:51:30Z</cp:lastPrinted>
  <dcterms:created xsi:type="dcterms:W3CDTF">2004-11-02T19:29:41Z</dcterms:created>
  <dcterms:modified xsi:type="dcterms:W3CDTF">2017-08-18T15:29:34Z</dcterms:modified>
</cp:coreProperties>
</file>