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PP\PA\PAForum\Web Publications\FINANCE\Formula Funding and Advisory Committees\2024-2025 Biennium\Formula Advisory Committee\HRI Materials\8-26-21 Meeting\"/>
    </mc:Choice>
  </mc:AlternateContent>
  <xr:revisionPtr revIDLastSave="0" documentId="13_ncr:1_{A5FDA0B4-EA5E-41D6-9DC8-33B53AC09ACA}" xr6:coauthVersionLast="47" xr6:coauthVersionMax="47" xr10:uidLastSave="{00000000-0000-0000-0000-000000000000}"/>
  <bookViews>
    <workbookView xWindow="-120" yWindow="-120" windowWidth="20730" windowHeight="11160" tabRatio="757" xr2:uid="{00000000-000D-0000-FFFF-FFFF00000000}"/>
  </bookViews>
  <sheets>
    <sheet name="LBB FY 22-23" sheetId="116" r:id="rId1"/>
    <sheet name="I&amp;O Summary" sheetId="117" r:id="rId2"/>
    <sheet name="I&amp;O Calc" sheetId="118" r:id="rId3"/>
    <sheet name="Weights" sheetId="119" r:id="rId4"/>
    <sheet name="Link Data" sheetId="120" r:id="rId5"/>
    <sheet name="Source Data" sheetId="121" r:id="rId6"/>
    <sheet name="I&amp;O Historical" sheetId="122" r:id="rId7"/>
    <sheet name="Infrastructure" sheetId="123" r:id="rId8"/>
    <sheet name="Research" sheetId="124" r:id="rId9"/>
    <sheet name="GME" sheetId="125" r:id="rId10"/>
  </sheets>
  <externalReferences>
    <externalReference r:id="rId11"/>
  </externalReferences>
  <definedNames>
    <definedName name="_Fill" localSheetId="0" hidden="1">#REF!</definedName>
    <definedName name="_Fill" hidden="1">#REF!</definedName>
    <definedName name="_Order1" hidden="1">255</definedName>
    <definedName name="_Order2" hidden="1">255</definedName>
    <definedName name="AllothersMin" localSheetId="6">'I&amp;O Historical'!#REF!</definedName>
    <definedName name="AllothersMin">Weights!#REF!</definedName>
    <definedName name="AllWeights" localSheetId="6">'I&amp;O Historical'!#REF!</definedName>
    <definedName name="AllWeights">Weights!$A$2:$B$16</definedName>
    <definedName name="ClassSize" localSheetId="6">'I&amp;O Historical'!#REF!</definedName>
    <definedName name="ClassSize">Weights!$D$15</definedName>
    <definedName name="DentalEducMin" localSheetId="6">'I&amp;O Historical'!#REF!</definedName>
    <definedName name="DentalEducMin">Weights!#REF!</definedName>
    <definedName name="MedEducMin" localSheetId="6">'I&amp;O Historical'!#REF!</definedName>
    <definedName name="MedEducMin">Weights!#REF!</definedName>
    <definedName name="_xlnm.Print_Area" localSheetId="2">'I&amp;O Calc'!$A$1:$S$400</definedName>
    <definedName name="_xlnm.Print_Area" localSheetId="1">'I&amp;O Summary'!$A$1:$Q$162</definedName>
    <definedName name="_xlnm.Print_Area" localSheetId="0">'LBB FY 22-23'!$A$1:$W$220</definedName>
    <definedName name="_xlnm.Print_Area" localSheetId="8">Research!$A$1:$I$28</definedName>
    <definedName name="_xlnm.Print_Titles" localSheetId="2">'I&amp;O Calc'!$1:$6</definedName>
    <definedName name="solver_adj" localSheetId="2" hidden="1">'I&amp;O Calc'!#REF!</definedName>
    <definedName name="solver_adj2" localSheetId="0" hidden="1">#REF!</definedName>
    <definedName name="solver_adj2" hidden="1">#REF!</definedName>
    <definedName name="solver_cvg" localSheetId="2" hidden="1">0.00000001</definedName>
    <definedName name="solver_cvg" hidden="1">0.0001</definedName>
    <definedName name="solver_drv" localSheetId="2" hidden="1">1</definedName>
    <definedName name="solver_drv" hidden="1">1</definedName>
    <definedName name="solver_est" localSheetId="2" hidden="1">1</definedName>
    <definedName name="solver_est" hidden="1">1</definedName>
    <definedName name="solver_itr" localSheetId="2" hidden="1">10000</definedName>
    <definedName name="solver_itr" hidden="1">100</definedName>
    <definedName name="solver_lin" localSheetId="2" hidden="1">2</definedName>
    <definedName name="solver_lin" hidden="1">2</definedName>
    <definedName name="solver_neg" localSheetId="2" hidden="1">2</definedName>
    <definedName name="solver_neg" hidden="1">2</definedName>
    <definedName name="solver_num" localSheetId="2" hidden="1">0</definedName>
    <definedName name="solver_num" hidden="1">0</definedName>
    <definedName name="solver_nwt" localSheetId="2" hidden="1">1</definedName>
    <definedName name="solver_nwt" hidden="1">1</definedName>
    <definedName name="solver_opt" localSheetId="2" hidden="1">'I&amp;O Calc'!$S$311</definedName>
    <definedName name="solver_opt" localSheetId="0" hidden="1">[1]Rates!#REF!</definedName>
    <definedName name="solver_opt" hidden="1">[1]Rates!#REF!</definedName>
    <definedName name="solver_pre" localSheetId="2" hidden="1">0.000001</definedName>
    <definedName name="solver_pre" hidden="1">0.000001</definedName>
    <definedName name="solver_scl" localSheetId="2" hidden="1">2</definedName>
    <definedName name="solver_scl" hidden="1">2</definedName>
    <definedName name="solver_sho" localSheetId="2" hidden="1">2</definedName>
    <definedName name="solver_sho" hidden="1">2</definedName>
    <definedName name="solver_tim" localSheetId="2" hidden="1">10000</definedName>
    <definedName name="solver_tim" hidden="1">100</definedName>
    <definedName name="solver_tol" localSheetId="2" hidden="1">0.05</definedName>
    <definedName name="solver_tol" hidden="1">0.05</definedName>
    <definedName name="solver_typ" localSheetId="2" hidden="1">2</definedName>
    <definedName name="solver_typ" hidden="1">3</definedName>
    <definedName name="solver_val" localSheetId="2" hidden="1">0.00001</definedName>
    <definedName name="solver_val" hidden="1">311744657</definedName>
    <definedName name="weights" localSheetId="6">'I&amp;O Historical'!#REF!</definedName>
    <definedName name="weights" localSheetId="1">Weights!$B$4:$D$12</definedName>
    <definedName name="weights">Weights!$B$4:$D$12</definedName>
    <definedName name="Z_175A74B9_04D8_4168_BE0E_B9F6D216804E_.wvu.Cols" localSheetId="0" hidden="1">[1]Infrastructure!#REF!</definedName>
    <definedName name="Z_175A74B9_04D8_4168_BE0E_B9F6D216804E_.wvu.Cols" hidden="1">[1]Infrastructure!#REF!</definedName>
    <definedName name="Z_175A74B9_04D8_4168_BE0E_B9F6D216804E_.wvu.PrintTitles" hidden="1">[1]Rates!$B:$J,[1]Rates!$3:$7</definedName>
    <definedName name="Z_3B4A1CD3_71A7_41D8_BB20_2C00DD672F4C_.wvu.Cols" localSheetId="0" hidden="1">[1]Infrastructure!#REF!</definedName>
    <definedName name="Z_3B4A1CD3_71A7_41D8_BB20_2C00DD672F4C_.wvu.Cols" hidden="1">[1]Infrastructure!#REF!</definedName>
    <definedName name="Z_3B4A1CD3_71A7_41D8_BB20_2C00DD672F4C_.wvu.PrintTitles" hidden="1">[1]Rates!$B:$J,[1]Rates!$3:$7</definedName>
    <definedName name="Z_5F15871F_1F9D_454B_B820_06244E250857_.wvu.Cols" localSheetId="0" hidden="1">[1]Infrastructure!#REF!</definedName>
    <definedName name="Z_5F15871F_1F9D_454B_B820_06244E250857_.wvu.Cols" hidden="1">[1]Infrastructure!#REF!</definedName>
    <definedName name="Z_5F15871F_1F9D_454B_B820_06244E250857_.wvu.PrintTitles" hidden="1">[1]Rates!$B:$J,[1]Rates!$3:$7</definedName>
    <definedName name="Z_82D93351_CB79_47D8_8AE8_2B10EACDB89E_.wvu.Cols" localSheetId="0" hidden="1">[1]Infrastructure!#REF!</definedName>
    <definedName name="Z_82D93351_CB79_47D8_8AE8_2B10EACDB89E_.wvu.Cols" hidden="1">[1]Infrastructure!#REF!</definedName>
    <definedName name="Z_82D93351_CB79_47D8_8AE8_2B10EACDB89E_.wvu.PrintTitles" hidden="1">[1]Rates!$B:$J,[1]Rates!$3:$7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25" l="1"/>
  <c r="F21" i="125"/>
  <c r="F23" i="125" s="1"/>
  <c r="B21" i="125"/>
  <c r="D20" i="125"/>
  <c r="C20" i="125"/>
  <c r="E20" i="125" s="1"/>
  <c r="G20" i="125" s="1"/>
  <c r="D19" i="125"/>
  <c r="D17" i="125"/>
  <c r="D15" i="125"/>
  <c r="E15" i="125" s="1"/>
  <c r="G15" i="125" s="1"/>
  <c r="H15" i="125" s="1"/>
  <c r="D12" i="125"/>
  <c r="C12" i="125"/>
  <c r="E12" i="125" s="1"/>
  <c r="G12" i="125" s="1"/>
  <c r="H12" i="125" s="1"/>
  <c r="D11" i="125"/>
  <c r="D9" i="125"/>
  <c r="D5" i="125"/>
  <c r="D18" i="125" s="1"/>
  <c r="C5" i="125"/>
  <c r="C15" i="125" s="1"/>
  <c r="C28" i="124"/>
  <c r="C27" i="124"/>
  <c r="C24" i="124"/>
  <c r="B23" i="124"/>
  <c r="F21" i="124"/>
  <c r="B21" i="124"/>
  <c r="C19" i="124" s="1"/>
  <c r="F19" i="124"/>
  <c r="F18" i="124"/>
  <c r="C18" i="124"/>
  <c r="F17" i="124"/>
  <c r="C17" i="124"/>
  <c r="F16" i="124"/>
  <c r="C16" i="124"/>
  <c r="F15" i="124"/>
  <c r="C15" i="124"/>
  <c r="F14" i="124"/>
  <c r="C14" i="124"/>
  <c r="F13" i="124"/>
  <c r="C13" i="124"/>
  <c r="F12" i="124"/>
  <c r="C12" i="124"/>
  <c r="F11" i="124"/>
  <c r="C11" i="124"/>
  <c r="F10" i="124"/>
  <c r="C10" i="124"/>
  <c r="F9" i="124"/>
  <c r="C9" i="124"/>
  <c r="F8" i="124"/>
  <c r="C8" i="124"/>
  <c r="F7" i="124"/>
  <c r="C7" i="124"/>
  <c r="C21" i="124" s="1"/>
  <c r="B23" i="123"/>
  <c r="C21" i="123"/>
  <c r="D21" i="123" s="1"/>
  <c r="C20" i="123"/>
  <c r="D20" i="123" s="1"/>
  <c r="D19" i="123"/>
  <c r="F19" i="123" s="1"/>
  <c r="C19" i="123"/>
  <c r="C18" i="123"/>
  <c r="D18" i="123" s="1"/>
  <c r="D17" i="123"/>
  <c r="F17" i="123" s="1"/>
  <c r="C17" i="123"/>
  <c r="C16" i="123"/>
  <c r="D16" i="123" s="1"/>
  <c r="D15" i="123"/>
  <c r="F15" i="123" s="1"/>
  <c r="C15" i="123"/>
  <c r="C14" i="123"/>
  <c r="D14" i="123" s="1"/>
  <c r="C13" i="123"/>
  <c r="D13" i="123" s="1"/>
  <c r="C12" i="123"/>
  <c r="D12" i="123" s="1"/>
  <c r="D11" i="123"/>
  <c r="F11" i="123" s="1"/>
  <c r="C11" i="123"/>
  <c r="C10" i="123"/>
  <c r="D10" i="123" s="1"/>
  <c r="D9" i="123"/>
  <c r="F9" i="123" s="1"/>
  <c r="C9" i="123"/>
  <c r="F14" i="123" l="1"/>
  <c r="E14" i="123"/>
  <c r="E20" i="123"/>
  <c r="F20" i="123"/>
  <c r="G20" i="123" s="1"/>
  <c r="G9" i="123"/>
  <c r="E21" i="123"/>
  <c r="F21" i="123"/>
  <c r="E10" i="123"/>
  <c r="F10" i="123"/>
  <c r="G10" i="123" s="1"/>
  <c r="F16" i="123"/>
  <c r="E16" i="123"/>
  <c r="E18" i="125"/>
  <c r="G18" i="125" s="1"/>
  <c r="H18" i="125" s="1"/>
  <c r="E18" i="123"/>
  <c r="F18" i="123"/>
  <c r="G18" i="123" s="1"/>
  <c r="D12" i="124"/>
  <c r="G12" i="124" s="1"/>
  <c r="E11" i="125"/>
  <c r="G11" i="125" s="1"/>
  <c r="H11" i="125" s="1"/>
  <c r="G19" i="123"/>
  <c r="G17" i="123"/>
  <c r="E12" i="123"/>
  <c r="F12" i="123"/>
  <c r="G12" i="123" s="1"/>
  <c r="E13" i="123"/>
  <c r="F13" i="123"/>
  <c r="G13" i="123" s="1"/>
  <c r="E15" i="123"/>
  <c r="G15" i="123" s="1"/>
  <c r="C9" i="125"/>
  <c r="E9" i="125" s="1"/>
  <c r="G9" i="125" s="1"/>
  <c r="H9" i="125" s="1"/>
  <c r="C17" i="125"/>
  <c r="E17" i="125" s="1"/>
  <c r="G17" i="125" s="1"/>
  <c r="H17" i="125" s="1"/>
  <c r="E9" i="123"/>
  <c r="E17" i="123"/>
  <c r="D23" i="123"/>
  <c r="C11" i="125"/>
  <c r="D14" i="125"/>
  <c r="E14" i="125" s="1"/>
  <c r="G14" i="125" s="1"/>
  <c r="H14" i="125" s="1"/>
  <c r="C19" i="125"/>
  <c r="E19" i="125" s="1"/>
  <c r="G19" i="125" s="1"/>
  <c r="H19" i="125" s="1"/>
  <c r="C22" i="125"/>
  <c r="C14" i="125"/>
  <c r="C8" i="125"/>
  <c r="C16" i="125"/>
  <c r="D22" i="125"/>
  <c r="E19" i="123"/>
  <c r="D8" i="125"/>
  <c r="C13" i="125"/>
  <c r="D16" i="125"/>
  <c r="E16" i="125" s="1"/>
  <c r="G16" i="125" s="1"/>
  <c r="H16" i="125" s="1"/>
  <c r="B26" i="124"/>
  <c r="B28" i="124" s="1"/>
  <c r="D19" i="124" s="1"/>
  <c r="G19" i="124" s="1"/>
  <c r="C10" i="125"/>
  <c r="D13" i="125"/>
  <c r="C18" i="125"/>
  <c r="E11" i="123"/>
  <c r="G11" i="123" s="1"/>
  <c r="D10" i="125"/>
  <c r="E10" i="125" s="1"/>
  <c r="G10" i="125" s="1"/>
  <c r="H10" i="125" s="1"/>
  <c r="H19" i="124" l="1"/>
  <c r="I19" i="124" s="1"/>
  <c r="D21" i="125"/>
  <c r="E8" i="125"/>
  <c r="G23" i="123"/>
  <c r="D8" i="124"/>
  <c r="G8" i="124" s="1"/>
  <c r="F23" i="123"/>
  <c r="H12" i="124"/>
  <c r="I12" i="124" s="1"/>
  <c r="G16" i="123"/>
  <c r="E22" i="125"/>
  <c r="D23" i="125"/>
  <c r="E13" i="125"/>
  <c r="G13" i="125" s="1"/>
  <c r="H13" i="125" s="1"/>
  <c r="C21" i="125"/>
  <c r="C23" i="125" s="1"/>
  <c r="E23" i="123"/>
  <c r="D9" i="124"/>
  <c r="G9" i="124" s="1"/>
  <c r="D16" i="124"/>
  <c r="G16" i="124" s="1"/>
  <c r="D13" i="124"/>
  <c r="G13" i="124" s="1"/>
  <c r="D11" i="124"/>
  <c r="G11" i="124" s="1"/>
  <c r="D17" i="124"/>
  <c r="G17" i="124" s="1"/>
  <c r="D14" i="124"/>
  <c r="G14" i="124" s="1"/>
  <c r="D18" i="124"/>
  <c r="G18" i="124" s="1"/>
  <c r="D10" i="124"/>
  <c r="G10" i="124" s="1"/>
  <c r="D15" i="124"/>
  <c r="G15" i="124" s="1"/>
  <c r="D7" i="124"/>
  <c r="G21" i="123"/>
  <c r="G14" i="123"/>
  <c r="H8" i="124" l="1"/>
  <c r="I8" i="124" s="1"/>
  <c r="H18" i="124"/>
  <c r="I18" i="124" s="1"/>
  <c r="E21" i="125"/>
  <c r="E27" i="125" s="1"/>
  <c r="G8" i="125"/>
  <c r="H14" i="124"/>
  <c r="I14" i="124" s="1"/>
  <c r="G22" i="125"/>
  <c r="H13" i="124"/>
  <c r="I13" i="124"/>
  <c r="H17" i="124"/>
  <c r="I17" i="124"/>
  <c r="D21" i="124"/>
  <c r="G7" i="124"/>
  <c r="H16" i="124"/>
  <c r="I16" i="124" s="1"/>
  <c r="H10" i="124"/>
  <c r="I10" i="124" s="1"/>
  <c r="H11" i="124"/>
  <c r="I11" i="124" s="1"/>
  <c r="H15" i="124"/>
  <c r="I15" i="124" s="1"/>
  <c r="H9" i="124"/>
  <c r="I9" i="124"/>
  <c r="H7" i="124" l="1"/>
  <c r="H21" i="124" s="1"/>
  <c r="G21" i="124"/>
  <c r="G21" i="125"/>
  <c r="H21" i="125" s="1"/>
  <c r="H8" i="125"/>
  <c r="E23" i="125"/>
  <c r="H22" i="125"/>
  <c r="G23" i="125"/>
  <c r="H23" i="125" s="1"/>
  <c r="I7" i="124" l="1"/>
  <c r="I21" i="124" s="1"/>
  <c r="N54" i="122" l="1"/>
  <c r="M54" i="122"/>
  <c r="L54" i="122"/>
  <c r="K54" i="122"/>
  <c r="J54" i="122"/>
  <c r="H54" i="122"/>
  <c r="G54" i="122"/>
  <c r="F54" i="122"/>
  <c r="E54" i="122"/>
  <c r="D54" i="122"/>
  <c r="C54" i="122"/>
  <c r="B54" i="122"/>
  <c r="N50" i="122"/>
  <c r="M50" i="122"/>
  <c r="L50" i="122"/>
  <c r="K50" i="122"/>
  <c r="J50" i="122"/>
  <c r="H50" i="122"/>
  <c r="G50" i="122"/>
  <c r="F50" i="122"/>
  <c r="E50" i="122"/>
  <c r="D50" i="122"/>
  <c r="C50" i="122"/>
  <c r="B50" i="122"/>
  <c r="F35" i="122"/>
  <c r="E35" i="122"/>
  <c r="D35" i="122"/>
  <c r="C35" i="122"/>
  <c r="B35" i="122"/>
  <c r="F34" i="122"/>
  <c r="E34" i="122"/>
  <c r="D34" i="122"/>
  <c r="C34" i="122"/>
  <c r="B34" i="122"/>
  <c r="F33" i="122"/>
  <c r="E33" i="122"/>
  <c r="D33" i="122"/>
  <c r="C33" i="122"/>
  <c r="B33" i="122"/>
  <c r="F32" i="122"/>
  <c r="E32" i="122"/>
  <c r="D32" i="122"/>
  <c r="C32" i="122"/>
  <c r="B32" i="122"/>
  <c r="F31" i="122"/>
  <c r="E31" i="122"/>
  <c r="D31" i="122"/>
  <c r="C31" i="122"/>
  <c r="B31" i="122"/>
  <c r="F30" i="122"/>
  <c r="E30" i="122"/>
  <c r="D30" i="122"/>
  <c r="C30" i="122"/>
  <c r="B30" i="122"/>
  <c r="F29" i="122"/>
  <c r="E29" i="122"/>
  <c r="D29" i="122"/>
  <c r="C29" i="122"/>
  <c r="B29" i="122"/>
  <c r="F28" i="122"/>
  <c r="E28" i="122"/>
  <c r="D28" i="122"/>
  <c r="C28" i="122"/>
  <c r="B28" i="122"/>
  <c r="F27" i="122"/>
  <c r="E27" i="122"/>
  <c r="D27" i="122"/>
  <c r="C27" i="122"/>
  <c r="B27" i="122"/>
  <c r="F26" i="122"/>
  <c r="E26" i="122"/>
  <c r="D26" i="122"/>
  <c r="C26" i="122"/>
  <c r="B26" i="122"/>
  <c r="L207" i="120"/>
  <c r="K207" i="120"/>
  <c r="J207" i="120"/>
  <c r="I207" i="120"/>
  <c r="H207" i="120"/>
  <c r="G207" i="120"/>
  <c r="F207" i="120"/>
  <c r="M205" i="120"/>
  <c r="I205" i="120"/>
  <c r="M193" i="120"/>
  <c r="M187" i="120"/>
  <c r="M207" i="120" s="1"/>
  <c r="M179" i="120"/>
  <c r="M147" i="120"/>
  <c r="M132" i="120"/>
  <c r="M93" i="120"/>
  <c r="M86" i="120"/>
  <c r="M80" i="120"/>
  <c r="M56" i="120"/>
  <c r="M29" i="120"/>
  <c r="M13" i="120"/>
  <c r="D15" i="119"/>
  <c r="D12" i="119"/>
  <c r="C12" i="119"/>
  <c r="D11" i="119"/>
  <c r="C11" i="119"/>
  <c r="E11" i="119" s="1"/>
  <c r="D10" i="119"/>
  <c r="C10" i="119"/>
  <c r="D9" i="119"/>
  <c r="C9" i="119"/>
  <c r="E9" i="119" s="1"/>
  <c r="D8" i="119"/>
  <c r="C8" i="119"/>
  <c r="E8" i="119" s="1"/>
  <c r="E7" i="119"/>
  <c r="D7" i="119"/>
  <c r="C7" i="119"/>
  <c r="D6" i="119"/>
  <c r="D5" i="119"/>
  <c r="C5" i="119"/>
  <c r="E5" i="119" s="1"/>
  <c r="E4" i="119"/>
  <c r="D4" i="119"/>
  <c r="C4" i="119"/>
  <c r="E2" i="119"/>
  <c r="E12" i="119" s="1"/>
  <c r="C2" i="119"/>
  <c r="A399" i="118"/>
  <c r="Q398" i="118"/>
  <c r="M398" i="118"/>
  <c r="A377" i="118"/>
  <c r="M376" i="118"/>
  <c r="F373" i="118"/>
  <c r="F367" i="118"/>
  <c r="E367" i="118"/>
  <c r="D367" i="118"/>
  <c r="F366" i="118"/>
  <c r="E366" i="118"/>
  <c r="A355" i="118"/>
  <c r="F352" i="118"/>
  <c r="F345" i="118"/>
  <c r="E345" i="118"/>
  <c r="D345" i="118"/>
  <c r="F344" i="118"/>
  <c r="E344" i="118"/>
  <c r="Q335" i="118"/>
  <c r="O335" i="118"/>
  <c r="P331" i="118"/>
  <c r="G331" i="118"/>
  <c r="F331" i="118"/>
  <c r="D331" i="118"/>
  <c r="P330" i="118"/>
  <c r="G330" i="118"/>
  <c r="D330" i="118"/>
  <c r="P329" i="118"/>
  <c r="F329" i="118"/>
  <c r="E329" i="118"/>
  <c r="P328" i="118"/>
  <c r="F328" i="118"/>
  <c r="E328" i="118"/>
  <c r="D328" i="118"/>
  <c r="P327" i="118"/>
  <c r="F327" i="118"/>
  <c r="E327" i="118"/>
  <c r="D327" i="118"/>
  <c r="P326" i="118"/>
  <c r="F326" i="118"/>
  <c r="E326" i="118"/>
  <c r="P325" i="118"/>
  <c r="F325" i="118"/>
  <c r="E325" i="118"/>
  <c r="D325" i="118"/>
  <c r="P324" i="118"/>
  <c r="F324" i="118"/>
  <c r="E324" i="118"/>
  <c r="D324" i="118"/>
  <c r="P323" i="118"/>
  <c r="F323" i="118"/>
  <c r="E323" i="118"/>
  <c r="O304" i="118"/>
  <c r="O352" i="118" s="1"/>
  <c r="F304" i="118"/>
  <c r="F374" i="118" s="1"/>
  <c r="L302" i="118"/>
  <c r="J302" i="118"/>
  <c r="K302" i="118" s="1"/>
  <c r="M302" i="118" s="1"/>
  <c r="Q302" i="118" s="1"/>
  <c r="O300" i="118"/>
  <c r="I300" i="118"/>
  <c r="I304" i="118" s="1"/>
  <c r="H300" i="118"/>
  <c r="H304" i="118" s="1"/>
  <c r="G300" i="118"/>
  <c r="G304" i="118" s="1"/>
  <c r="L298" i="118"/>
  <c r="J298" i="118"/>
  <c r="K298" i="118" s="1"/>
  <c r="O296" i="118"/>
  <c r="D296" i="118"/>
  <c r="D304" i="118" s="1"/>
  <c r="L294" i="118"/>
  <c r="J294" i="118"/>
  <c r="K294" i="118" s="1"/>
  <c r="O292" i="118"/>
  <c r="I292" i="118"/>
  <c r="H292" i="118"/>
  <c r="G292" i="118"/>
  <c r="D292" i="118"/>
  <c r="L290" i="118"/>
  <c r="J290" i="118"/>
  <c r="J292" i="118" s="1"/>
  <c r="O288" i="118"/>
  <c r="K288" i="118"/>
  <c r="I288" i="118"/>
  <c r="H288" i="118"/>
  <c r="G288" i="118"/>
  <c r="L286" i="118"/>
  <c r="K286" i="118"/>
  <c r="M286" i="118" s="1"/>
  <c r="J286" i="118"/>
  <c r="J288" i="118" s="1"/>
  <c r="O284" i="118"/>
  <c r="J284" i="118"/>
  <c r="L282" i="118"/>
  <c r="J282" i="118"/>
  <c r="E282" i="118"/>
  <c r="E284" i="118" s="1"/>
  <c r="E304" i="118" s="1"/>
  <c r="I278" i="118"/>
  <c r="F278" i="118"/>
  <c r="F351" i="118" s="1"/>
  <c r="D278" i="118"/>
  <c r="D373" i="118" s="1"/>
  <c r="L276" i="118"/>
  <c r="J276" i="118"/>
  <c r="K276" i="118" s="1"/>
  <c r="O274" i="118"/>
  <c r="O278" i="118" s="1"/>
  <c r="O351" i="118" s="1"/>
  <c r="I274" i="118"/>
  <c r="H274" i="118"/>
  <c r="H278" i="118" s="1"/>
  <c r="G274" i="118"/>
  <c r="L272" i="118"/>
  <c r="M272" i="118" s="1"/>
  <c r="K272" i="118"/>
  <c r="K274" i="118" s="1"/>
  <c r="J272" i="118"/>
  <c r="J274" i="118" s="1"/>
  <c r="O270" i="118"/>
  <c r="K270" i="118"/>
  <c r="J270" i="118"/>
  <c r="D270" i="118"/>
  <c r="L268" i="118"/>
  <c r="K268" i="118"/>
  <c r="M268" i="118" s="1"/>
  <c r="J268" i="118"/>
  <c r="O266" i="118"/>
  <c r="J266" i="118"/>
  <c r="I266" i="118"/>
  <c r="H266" i="118"/>
  <c r="G266" i="118"/>
  <c r="D266" i="118"/>
  <c r="L264" i="118"/>
  <c r="K264" i="118"/>
  <c r="J264" i="118"/>
  <c r="O262" i="118"/>
  <c r="I262" i="118"/>
  <c r="H262" i="118"/>
  <c r="G262" i="118"/>
  <c r="L260" i="118"/>
  <c r="J260" i="118"/>
  <c r="K260" i="118" s="1"/>
  <c r="O258" i="118"/>
  <c r="J258" i="118"/>
  <c r="L256" i="118"/>
  <c r="J256" i="118"/>
  <c r="E256" i="118"/>
  <c r="F251" i="118"/>
  <c r="L249" i="118"/>
  <c r="L251" i="118" s="1"/>
  <c r="K249" i="118"/>
  <c r="J249" i="118"/>
  <c r="O247" i="118"/>
  <c r="J247" i="118"/>
  <c r="G247" i="118"/>
  <c r="L245" i="118"/>
  <c r="M245" i="118" s="1"/>
  <c r="K245" i="118"/>
  <c r="K247" i="118" s="1"/>
  <c r="J245" i="118"/>
  <c r="O243" i="118"/>
  <c r="J243" i="118"/>
  <c r="I243" i="118"/>
  <c r="H243" i="118"/>
  <c r="H251" i="118" s="1"/>
  <c r="G243" i="118"/>
  <c r="G251" i="118" s="1"/>
  <c r="L241" i="118"/>
  <c r="J241" i="118"/>
  <c r="K241" i="118" s="1"/>
  <c r="O239" i="118"/>
  <c r="O251" i="118" s="1"/>
  <c r="O350" i="118" s="1"/>
  <c r="D239" i="118"/>
  <c r="D251" i="118" s="1"/>
  <c r="L237" i="118"/>
  <c r="K237" i="118"/>
  <c r="K239" i="118" s="1"/>
  <c r="J237" i="118"/>
  <c r="J239" i="118" s="1"/>
  <c r="O235" i="118"/>
  <c r="K235" i="118"/>
  <c r="I235" i="118"/>
  <c r="H235" i="118"/>
  <c r="G235" i="118"/>
  <c r="D235" i="118"/>
  <c r="L233" i="118"/>
  <c r="K233" i="118"/>
  <c r="J233" i="118"/>
  <c r="J235" i="118" s="1"/>
  <c r="O231" i="118"/>
  <c r="J231" i="118"/>
  <c r="I231" i="118"/>
  <c r="H231" i="118"/>
  <c r="G231" i="118"/>
  <c r="L229" i="118"/>
  <c r="J229" i="118"/>
  <c r="K229" i="118" s="1"/>
  <c r="O227" i="118"/>
  <c r="J227" i="118"/>
  <c r="L225" i="118"/>
  <c r="J225" i="118"/>
  <c r="E225" i="118"/>
  <c r="F220" i="118"/>
  <c r="F371" i="118" s="1"/>
  <c r="J218" i="118"/>
  <c r="G218" i="118"/>
  <c r="O217" i="118"/>
  <c r="M217" i="118"/>
  <c r="M218" i="118" s="1"/>
  <c r="L217" i="118"/>
  <c r="K217" i="118"/>
  <c r="K218" i="118" s="1"/>
  <c r="J217" i="118"/>
  <c r="O212" i="118"/>
  <c r="L211" i="118"/>
  <c r="J211" i="118"/>
  <c r="I211" i="118"/>
  <c r="I212" i="118" s="1"/>
  <c r="H211" i="118"/>
  <c r="H212" i="118" s="1"/>
  <c r="G211" i="118"/>
  <c r="G212" i="118" s="1"/>
  <c r="G214" i="118" s="1"/>
  <c r="O209" i="118"/>
  <c r="J209" i="118"/>
  <c r="L208" i="118"/>
  <c r="J208" i="118"/>
  <c r="D208" i="118"/>
  <c r="I206" i="118"/>
  <c r="H206" i="118"/>
  <c r="G206" i="118"/>
  <c r="D206" i="118"/>
  <c r="L205" i="118"/>
  <c r="J205" i="118"/>
  <c r="J206" i="118" s="1"/>
  <c r="O203" i="118"/>
  <c r="H203" i="118"/>
  <c r="G203" i="118"/>
  <c r="M202" i="118"/>
  <c r="L202" i="118"/>
  <c r="I202" i="118"/>
  <c r="I203" i="118" s="1"/>
  <c r="H202" i="118"/>
  <c r="J202" i="118" s="1"/>
  <c r="J203" i="118" s="1"/>
  <c r="G202" i="118"/>
  <c r="K202" i="118" s="1"/>
  <c r="K203" i="118" s="1"/>
  <c r="J200" i="118"/>
  <c r="E200" i="118"/>
  <c r="E220" i="118" s="1"/>
  <c r="O199" i="118"/>
  <c r="L199" i="118"/>
  <c r="J199" i="118"/>
  <c r="E199" i="118"/>
  <c r="K199" i="118" s="1"/>
  <c r="L195" i="118"/>
  <c r="F195" i="118"/>
  <c r="F370" i="118" s="1"/>
  <c r="H193" i="118"/>
  <c r="G193" i="118"/>
  <c r="L192" i="118"/>
  <c r="I192" i="118"/>
  <c r="H192" i="118"/>
  <c r="G192" i="118"/>
  <c r="L191" i="118"/>
  <c r="I191" i="118"/>
  <c r="H191" i="118"/>
  <c r="J191" i="118" s="1"/>
  <c r="G191" i="118"/>
  <c r="L188" i="118"/>
  <c r="J188" i="118"/>
  <c r="J189" i="118" s="1"/>
  <c r="G188" i="118"/>
  <c r="K188" i="118" s="1"/>
  <c r="O187" i="118"/>
  <c r="Q187" i="118" s="1"/>
  <c r="L187" i="118"/>
  <c r="J187" i="118"/>
  <c r="G187" i="118"/>
  <c r="K187" i="118" s="1"/>
  <c r="M187" i="118" s="1"/>
  <c r="M186" i="118"/>
  <c r="L186" i="118"/>
  <c r="K186" i="118"/>
  <c r="O186" i="118" s="1"/>
  <c r="J186" i="118"/>
  <c r="G186" i="118"/>
  <c r="L185" i="118"/>
  <c r="K185" i="118"/>
  <c r="J185" i="118"/>
  <c r="G185" i="118"/>
  <c r="G189" i="118" s="1"/>
  <c r="G181" i="118"/>
  <c r="O179" i="118"/>
  <c r="J179" i="118"/>
  <c r="L178" i="118"/>
  <c r="J178" i="118"/>
  <c r="I178" i="118"/>
  <c r="H178" i="118"/>
  <c r="G178" i="118"/>
  <c r="L177" i="118"/>
  <c r="J177" i="118"/>
  <c r="I177" i="118"/>
  <c r="H177" i="118"/>
  <c r="G177" i="118"/>
  <c r="K177" i="118" s="1"/>
  <c r="L176" i="118"/>
  <c r="J176" i="118"/>
  <c r="I176" i="118"/>
  <c r="I179" i="118" s="1"/>
  <c r="H176" i="118"/>
  <c r="H179" i="118" s="1"/>
  <c r="G176" i="118"/>
  <c r="K176" i="118" s="1"/>
  <c r="M176" i="118" s="1"/>
  <c r="L173" i="118"/>
  <c r="J173" i="118"/>
  <c r="D173" i="118"/>
  <c r="D181" i="118" s="1"/>
  <c r="L172" i="118"/>
  <c r="J172" i="118"/>
  <c r="K172" i="118" s="1"/>
  <c r="D172" i="118"/>
  <c r="L171" i="118"/>
  <c r="J171" i="118"/>
  <c r="D171" i="118"/>
  <c r="D164" i="118"/>
  <c r="L163" i="118"/>
  <c r="I163" i="118"/>
  <c r="H163" i="118"/>
  <c r="J163" i="118" s="1"/>
  <c r="J168" i="118" s="1"/>
  <c r="G163" i="118"/>
  <c r="L162" i="118"/>
  <c r="I162" i="118"/>
  <c r="H162" i="118"/>
  <c r="J162" i="118" s="1"/>
  <c r="K162" i="118" s="1"/>
  <c r="M162" i="118" s="1"/>
  <c r="G162" i="118"/>
  <c r="L161" i="118"/>
  <c r="J161" i="118"/>
  <c r="J166" i="118" s="1"/>
  <c r="I161" i="118"/>
  <c r="H161" i="118"/>
  <c r="G161" i="118"/>
  <c r="L160" i="118"/>
  <c r="K206" i="117" s="1"/>
  <c r="K213" i="117" s="1"/>
  <c r="I160" i="118"/>
  <c r="H160" i="118"/>
  <c r="G160" i="118"/>
  <c r="D160" i="118"/>
  <c r="L157" i="118"/>
  <c r="J157" i="118"/>
  <c r="I157" i="118"/>
  <c r="H157" i="118"/>
  <c r="G157" i="118"/>
  <c r="K157" i="118" s="1"/>
  <c r="O157" i="118" s="1"/>
  <c r="L156" i="118"/>
  <c r="I156" i="118"/>
  <c r="H156" i="118"/>
  <c r="J156" i="118" s="1"/>
  <c r="G156" i="118"/>
  <c r="L155" i="118"/>
  <c r="I155" i="118"/>
  <c r="H155" i="118"/>
  <c r="J155" i="118" s="1"/>
  <c r="K155" i="118" s="1"/>
  <c r="M155" i="118" s="1"/>
  <c r="G155" i="118"/>
  <c r="L154" i="118"/>
  <c r="I154" i="118"/>
  <c r="I158" i="118" s="1"/>
  <c r="H154" i="118"/>
  <c r="G154" i="118"/>
  <c r="L151" i="118"/>
  <c r="J151" i="118"/>
  <c r="J152" i="118" s="1"/>
  <c r="E151" i="118"/>
  <c r="O150" i="118"/>
  <c r="L150" i="118"/>
  <c r="J150" i="118"/>
  <c r="E150" i="118"/>
  <c r="K150" i="118" s="1"/>
  <c r="L149" i="118"/>
  <c r="K149" i="118"/>
  <c r="O149" i="118" s="1"/>
  <c r="J149" i="118"/>
  <c r="E149" i="118"/>
  <c r="E152" i="118" s="1"/>
  <c r="E195" i="118" s="1"/>
  <c r="H145" i="118"/>
  <c r="F145" i="118"/>
  <c r="D145" i="118"/>
  <c r="L144" i="118"/>
  <c r="I144" i="118"/>
  <c r="J144" i="118" s="1"/>
  <c r="K144" i="118" s="1"/>
  <c r="M144" i="118" s="1"/>
  <c r="Q144" i="118" s="1"/>
  <c r="H144" i="118"/>
  <c r="G144" i="118"/>
  <c r="L143" i="118"/>
  <c r="J143" i="118"/>
  <c r="G143" i="118"/>
  <c r="K143" i="118" s="1"/>
  <c r="O143" i="118" s="1"/>
  <c r="L142" i="118"/>
  <c r="J142" i="118"/>
  <c r="G142" i="118"/>
  <c r="K142" i="118" s="1"/>
  <c r="L141" i="118"/>
  <c r="K141" i="118"/>
  <c r="J141" i="118"/>
  <c r="I141" i="118"/>
  <c r="H141" i="118"/>
  <c r="G141" i="118"/>
  <c r="L140" i="118"/>
  <c r="K140" i="118"/>
  <c r="J140" i="118"/>
  <c r="E140" i="118"/>
  <c r="E145" i="118" s="1"/>
  <c r="F136" i="118"/>
  <c r="L134" i="118"/>
  <c r="I134" i="118"/>
  <c r="J134" i="118" s="1"/>
  <c r="H134" i="118"/>
  <c r="G134" i="118"/>
  <c r="D134" i="118"/>
  <c r="L133" i="118"/>
  <c r="I133" i="118"/>
  <c r="H133" i="118"/>
  <c r="J133" i="118" s="1"/>
  <c r="G133" i="118"/>
  <c r="K133" i="118" s="1"/>
  <c r="D133" i="118"/>
  <c r="L132" i="118"/>
  <c r="I132" i="118"/>
  <c r="J132" i="118" s="1"/>
  <c r="H132" i="118"/>
  <c r="G132" i="118"/>
  <c r="D132" i="118"/>
  <c r="L131" i="118"/>
  <c r="I131" i="118"/>
  <c r="H131" i="118"/>
  <c r="J131" i="118" s="1"/>
  <c r="K131" i="118" s="1"/>
  <c r="G131" i="118"/>
  <c r="D131" i="118"/>
  <c r="L130" i="118"/>
  <c r="I130" i="118"/>
  <c r="J130" i="118" s="1"/>
  <c r="H130" i="118"/>
  <c r="G130" i="118"/>
  <c r="D130" i="118"/>
  <c r="K130" i="118" s="1"/>
  <c r="L129" i="118"/>
  <c r="I129" i="118"/>
  <c r="H129" i="118"/>
  <c r="G129" i="118"/>
  <c r="D129" i="118"/>
  <c r="L128" i="118"/>
  <c r="I128" i="118"/>
  <c r="H128" i="118"/>
  <c r="G128" i="118"/>
  <c r="G135" i="118" s="1"/>
  <c r="D128" i="118"/>
  <c r="J126" i="118"/>
  <c r="L125" i="118"/>
  <c r="K125" i="118"/>
  <c r="O125" i="118" s="1"/>
  <c r="J125" i="118"/>
  <c r="G125" i="118"/>
  <c r="L124" i="118"/>
  <c r="J124" i="118"/>
  <c r="J328" i="118" s="1"/>
  <c r="H14" i="117" s="1"/>
  <c r="G124" i="118"/>
  <c r="G328" i="118" s="1"/>
  <c r="O122" i="118"/>
  <c r="L121" i="118"/>
  <c r="H121" i="118"/>
  <c r="G121" i="118"/>
  <c r="D119" i="118"/>
  <c r="L118" i="118"/>
  <c r="J118" i="118"/>
  <c r="K118" i="118" s="1"/>
  <c r="D118" i="118"/>
  <c r="L117" i="118"/>
  <c r="K117" i="118"/>
  <c r="M117" i="118" s="1"/>
  <c r="J117" i="118"/>
  <c r="D117" i="118"/>
  <c r="L116" i="118"/>
  <c r="I226" i="117" s="1"/>
  <c r="I233" i="117" s="1"/>
  <c r="K116" i="118"/>
  <c r="J116" i="118"/>
  <c r="D116" i="118"/>
  <c r="L114" i="118"/>
  <c r="J114" i="118"/>
  <c r="G114" i="118"/>
  <c r="D114" i="118"/>
  <c r="I112" i="118"/>
  <c r="L111" i="118"/>
  <c r="I111" i="118"/>
  <c r="H111" i="118"/>
  <c r="J111" i="118" s="1"/>
  <c r="K111" i="118" s="1"/>
  <c r="G111" i="118"/>
  <c r="L110" i="118"/>
  <c r="I110" i="118"/>
  <c r="H110" i="118"/>
  <c r="J110" i="118" s="1"/>
  <c r="G110" i="118"/>
  <c r="K110" i="118" s="1"/>
  <c r="O110" i="118" s="1"/>
  <c r="L109" i="118"/>
  <c r="I109" i="118"/>
  <c r="H109" i="118"/>
  <c r="J109" i="118" s="1"/>
  <c r="K109" i="118" s="1"/>
  <c r="G109" i="118"/>
  <c r="L108" i="118"/>
  <c r="J108" i="118"/>
  <c r="K108" i="118" s="1"/>
  <c r="I108" i="118"/>
  <c r="H108" i="118"/>
  <c r="G108" i="118"/>
  <c r="L107" i="118"/>
  <c r="K107" i="118"/>
  <c r="I107" i="118"/>
  <c r="J107" i="118" s="1"/>
  <c r="H107" i="118"/>
  <c r="G107" i="118"/>
  <c r="L106" i="118"/>
  <c r="I106" i="118"/>
  <c r="J106" i="118" s="1"/>
  <c r="H106" i="118"/>
  <c r="G106" i="118"/>
  <c r="L104" i="118"/>
  <c r="J104" i="118"/>
  <c r="F104" i="118"/>
  <c r="E104" i="118"/>
  <c r="L101" i="118"/>
  <c r="J101" i="118"/>
  <c r="E101" i="118"/>
  <c r="L100" i="118"/>
  <c r="J100" i="118"/>
  <c r="E100" i="118"/>
  <c r="K100" i="118" s="1"/>
  <c r="L99" i="118"/>
  <c r="J99" i="118"/>
  <c r="K99" i="118" s="1"/>
  <c r="E99" i="118"/>
  <c r="L98" i="118"/>
  <c r="K98" i="118"/>
  <c r="J98" i="118"/>
  <c r="E98" i="118"/>
  <c r="E102" i="118" s="1"/>
  <c r="L97" i="118"/>
  <c r="J97" i="118"/>
  <c r="J102" i="118" s="1"/>
  <c r="E97" i="118"/>
  <c r="J93" i="118"/>
  <c r="L92" i="118"/>
  <c r="J92" i="118"/>
  <c r="K92" i="118" s="1"/>
  <c r="G92" i="118"/>
  <c r="L91" i="118"/>
  <c r="J91" i="118"/>
  <c r="G91" i="118"/>
  <c r="G87" i="118"/>
  <c r="D87" i="118"/>
  <c r="O86" i="118"/>
  <c r="L86" i="118"/>
  <c r="G208" i="117" s="1"/>
  <c r="G215" i="117" s="1"/>
  <c r="J86" i="118"/>
  <c r="J87" i="118" s="1"/>
  <c r="G86" i="118"/>
  <c r="D86" i="118"/>
  <c r="K86" i="118" s="1"/>
  <c r="L81" i="118"/>
  <c r="K81" i="118"/>
  <c r="G81" i="118"/>
  <c r="G326" i="118" s="1"/>
  <c r="L80" i="118"/>
  <c r="F225" i="117" s="1"/>
  <c r="F232" i="117" s="1"/>
  <c r="I80" i="118"/>
  <c r="H80" i="118"/>
  <c r="J80" i="118" s="1"/>
  <c r="G80" i="118"/>
  <c r="L79" i="118"/>
  <c r="J79" i="118"/>
  <c r="D79" i="118"/>
  <c r="G76" i="118"/>
  <c r="L73" i="118"/>
  <c r="M73" i="118" s="1"/>
  <c r="Q73" i="118" s="1"/>
  <c r="J73" i="118"/>
  <c r="G73" i="118"/>
  <c r="K73" i="118" s="1"/>
  <c r="D73" i="118"/>
  <c r="L72" i="118"/>
  <c r="M72" i="118" s="1"/>
  <c r="I72" i="118"/>
  <c r="H72" i="118"/>
  <c r="J72" i="118" s="1"/>
  <c r="K72" i="118" s="1"/>
  <c r="O72" i="118" s="1"/>
  <c r="G72" i="118"/>
  <c r="D72" i="118"/>
  <c r="L71" i="118"/>
  <c r="J71" i="118"/>
  <c r="G71" i="118"/>
  <c r="L70" i="118"/>
  <c r="I70" i="118"/>
  <c r="H70" i="118"/>
  <c r="J70" i="118" s="1"/>
  <c r="G70" i="118"/>
  <c r="D70" i="118"/>
  <c r="L69" i="118"/>
  <c r="I69" i="118"/>
  <c r="I74" i="118" s="1"/>
  <c r="I82" i="118" s="1"/>
  <c r="H69" i="118"/>
  <c r="G69" i="118"/>
  <c r="G74" i="118" s="1"/>
  <c r="D69" i="118"/>
  <c r="L67" i="118"/>
  <c r="I67" i="118"/>
  <c r="H67" i="118"/>
  <c r="J67" i="118" s="1"/>
  <c r="G67" i="118"/>
  <c r="F65" i="118"/>
  <c r="F82" i="118" s="1"/>
  <c r="E65" i="118"/>
  <c r="E82" i="118" s="1"/>
  <c r="L64" i="118"/>
  <c r="J64" i="118"/>
  <c r="J65" i="118" s="1"/>
  <c r="E64" i="118"/>
  <c r="L63" i="118"/>
  <c r="K63" i="118"/>
  <c r="J63" i="118"/>
  <c r="F63" i="118"/>
  <c r="E63" i="118"/>
  <c r="O62" i="118"/>
  <c r="L62" i="118"/>
  <c r="K62" i="118"/>
  <c r="J62" i="118"/>
  <c r="F62" i="118"/>
  <c r="E62" i="118"/>
  <c r="J60" i="118"/>
  <c r="E60" i="118"/>
  <c r="O59" i="118"/>
  <c r="L59" i="118"/>
  <c r="J59" i="118"/>
  <c r="E59" i="118"/>
  <c r="K59" i="118" s="1"/>
  <c r="M59" i="118" s="1"/>
  <c r="L58" i="118"/>
  <c r="M58" i="118" s="1"/>
  <c r="K58" i="118"/>
  <c r="J58" i="118"/>
  <c r="E58" i="118"/>
  <c r="E54" i="118"/>
  <c r="L52" i="118"/>
  <c r="I52" i="118"/>
  <c r="H52" i="118"/>
  <c r="J52" i="118" s="1"/>
  <c r="G52" i="118"/>
  <c r="D52" i="118"/>
  <c r="L51" i="118"/>
  <c r="I51" i="118"/>
  <c r="J51" i="118" s="1"/>
  <c r="H51" i="118"/>
  <c r="G51" i="118"/>
  <c r="D51" i="118"/>
  <c r="L50" i="118"/>
  <c r="I50" i="118"/>
  <c r="H50" i="118"/>
  <c r="J50" i="118" s="1"/>
  <c r="K50" i="118" s="1"/>
  <c r="G50" i="118"/>
  <c r="D50" i="118"/>
  <c r="L49" i="118"/>
  <c r="I49" i="118"/>
  <c r="H49" i="118"/>
  <c r="G49" i="118"/>
  <c r="D49" i="118"/>
  <c r="L48" i="118"/>
  <c r="I48" i="118"/>
  <c r="J48" i="118" s="1"/>
  <c r="H48" i="118"/>
  <c r="G48" i="118"/>
  <c r="D48" i="118"/>
  <c r="L47" i="118"/>
  <c r="I47" i="118"/>
  <c r="I53" i="118" s="1"/>
  <c r="I54" i="118" s="1"/>
  <c r="H47" i="118"/>
  <c r="G47" i="118"/>
  <c r="D47" i="118"/>
  <c r="O45" i="118"/>
  <c r="O327" i="118" s="1"/>
  <c r="L44" i="118"/>
  <c r="E225" i="117" s="1"/>
  <c r="E232" i="117" s="1"/>
  <c r="J44" i="118"/>
  <c r="K44" i="118" s="1"/>
  <c r="I44" i="118"/>
  <c r="H44" i="118"/>
  <c r="G44" i="118"/>
  <c r="L43" i="118"/>
  <c r="I43" i="118"/>
  <c r="I45" i="118" s="1"/>
  <c r="H43" i="118"/>
  <c r="G43" i="118"/>
  <c r="G45" i="118" s="1"/>
  <c r="L41" i="118"/>
  <c r="J41" i="118"/>
  <c r="D41" i="118"/>
  <c r="K41" i="118" s="1"/>
  <c r="L38" i="118"/>
  <c r="M38" i="118" s="1"/>
  <c r="J38" i="118"/>
  <c r="I38" i="118"/>
  <c r="H38" i="118"/>
  <c r="G38" i="118"/>
  <c r="K38" i="118" s="1"/>
  <c r="O38" i="118" s="1"/>
  <c r="L37" i="118"/>
  <c r="J37" i="118"/>
  <c r="J325" i="118" s="1"/>
  <c r="H12" i="117" s="1"/>
  <c r="I37" i="118"/>
  <c r="H37" i="118"/>
  <c r="G37" i="118"/>
  <c r="G325" i="118" s="1"/>
  <c r="L36" i="118"/>
  <c r="J36" i="118"/>
  <c r="D36" i="118"/>
  <c r="K36" i="118" s="1"/>
  <c r="G34" i="118"/>
  <c r="L33" i="118"/>
  <c r="I33" i="118"/>
  <c r="H33" i="118"/>
  <c r="H34" i="118" s="1"/>
  <c r="G33" i="118"/>
  <c r="L32" i="118"/>
  <c r="J32" i="118"/>
  <c r="I32" i="118"/>
  <c r="I34" i="118" s="1"/>
  <c r="H32" i="118"/>
  <c r="G32" i="118"/>
  <c r="L30" i="118"/>
  <c r="K30" i="118"/>
  <c r="J30" i="118"/>
  <c r="F30" i="118"/>
  <c r="E30" i="118"/>
  <c r="L29" i="118"/>
  <c r="K29" i="118"/>
  <c r="J29" i="118"/>
  <c r="E29" i="118"/>
  <c r="F25" i="118"/>
  <c r="D25" i="118"/>
  <c r="L24" i="118"/>
  <c r="I24" i="118"/>
  <c r="H24" i="118"/>
  <c r="G24" i="118"/>
  <c r="L23" i="118"/>
  <c r="D225" i="117" s="1"/>
  <c r="I23" i="118"/>
  <c r="H23" i="118"/>
  <c r="G23" i="118"/>
  <c r="L22" i="118"/>
  <c r="J22" i="118"/>
  <c r="J326" i="118" s="1"/>
  <c r="D22" i="118"/>
  <c r="L21" i="118"/>
  <c r="J21" i="118"/>
  <c r="I21" i="118"/>
  <c r="H21" i="118"/>
  <c r="G21" i="118"/>
  <c r="K21" i="118" s="1"/>
  <c r="D21" i="118"/>
  <c r="L20" i="118"/>
  <c r="I20" i="118"/>
  <c r="H20" i="118"/>
  <c r="G20" i="118"/>
  <c r="E18" i="118"/>
  <c r="E25" i="118" s="1"/>
  <c r="L17" i="118"/>
  <c r="J17" i="118"/>
  <c r="J18" i="118" s="1"/>
  <c r="E17" i="118"/>
  <c r="K17" i="118" s="1"/>
  <c r="O17" i="118" s="1"/>
  <c r="O16" i="118"/>
  <c r="L16" i="118"/>
  <c r="J16" i="118"/>
  <c r="E16" i="118"/>
  <c r="K16" i="118" s="1"/>
  <c r="F12" i="118"/>
  <c r="E12" i="118"/>
  <c r="D12" i="118"/>
  <c r="L11" i="118"/>
  <c r="K11" i="118"/>
  <c r="J11" i="118"/>
  <c r="C159" i="117" s="1"/>
  <c r="I11" i="118"/>
  <c r="H11" i="118"/>
  <c r="G11" i="118"/>
  <c r="G323" i="118" s="1"/>
  <c r="E10" i="117" s="1"/>
  <c r="D11" i="118"/>
  <c r="D323" i="118" s="1"/>
  <c r="B10" i="117" s="1"/>
  <c r="L10" i="118"/>
  <c r="J10" i="118"/>
  <c r="I10" i="118"/>
  <c r="I12" i="118" s="1"/>
  <c r="H10" i="118"/>
  <c r="H12" i="118" s="1"/>
  <c r="G10" i="118"/>
  <c r="L9" i="118"/>
  <c r="K9" i="118"/>
  <c r="J9" i="118"/>
  <c r="J331" i="118" s="1"/>
  <c r="H17" i="117" s="1"/>
  <c r="E9" i="118"/>
  <c r="O236" i="117"/>
  <c r="N236" i="117"/>
  <c r="O235" i="117"/>
  <c r="N235" i="117"/>
  <c r="J235" i="117"/>
  <c r="H235" i="117"/>
  <c r="G235" i="117"/>
  <c r="O234" i="117"/>
  <c r="N234" i="117"/>
  <c r="M234" i="117"/>
  <c r="M229" i="117"/>
  <c r="O228" i="117"/>
  <c r="N228" i="117"/>
  <c r="M228" i="117"/>
  <c r="J228" i="117"/>
  <c r="H228" i="117"/>
  <c r="G228" i="117"/>
  <c r="O227" i="117"/>
  <c r="O229" i="117" s="1"/>
  <c r="N227" i="117"/>
  <c r="N229" i="117" s="1"/>
  <c r="M227" i="117"/>
  <c r="F224" i="117"/>
  <c r="F231" i="117" s="1"/>
  <c r="E224" i="117"/>
  <c r="E231" i="117" s="1"/>
  <c r="O222" i="117"/>
  <c r="N222" i="117"/>
  <c r="M222" i="117"/>
  <c r="L222" i="117"/>
  <c r="K222" i="117"/>
  <c r="J222" i="117"/>
  <c r="I222" i="117"/>
  <c r="H222" i="117"/>
  <c r="G222" i="117"/>
  <c r="F222" i="117"/>
  <c r="E222" i="117"/>
  <c r="D222" i="117"/>
  <c r="C222" i="117"/>
  <c r="O218" i="117"/>
  <c r="M218" i="117"/>
  <c r="L218" i="117"/>
  <c r="M217" i="117"/>
  <c r="L217" i="117"/>
  <c r="H217" i="117"/>
  <c r="O216" i="117"/>
  <c r="O217" i="117" s="1"/>
  <c r="N216" i="117"/>
  <c r="N217" i="117" s="1"/>
  <c r="M216" i="117"/>
  <c r="L216" i="117"/>
  <c r="H216" i="117"/>
  <c r="H218" i="117" s="1"/>
  <c r="J215" i="117"/>
  <c r="E215" i="117"/>
  <c r="E214" i="117"/>
  <c r="M211" i="117"/>
  <c r="L211" i="117"/>
  <c r="M210" i="117"/>
  <c r="L210" i="117"/>
  <c r="H210" i="117"/>
  <c r="O209" i="117"/>
  <c r="O211" i="117" s="1"/>
  <c r="N209" i="117"/>
  <c r="N210" i="117" s="1"/>
  <c r="M209" i="117"/>
  <c r="L209" i="117"/>
  <c r="H209" i="117"/>
  <c r="H211" i="117" s="1"/>
  <c r="J208" i="117"/>
  <c r="I208" i="117"/>
  <c r="I215" i="117" s="1"/>
  <c r="D208" i="117"/>
  <c r="D215" i="117" s="1"/>
  <c r="C208" i="117"/>
  <c r="C215" i="117" s="1"/>
  <c r="I207" i="117"/>
  <c r="I214" i="117" s="1"/>
  <c r="G207" i="117"/>
  <c r="G214" i="117" s="1"/>
  <c r="D207" i="117"/>
  <c r="D214" i="117" s="1"/>
  <c r="C207" i="117"/>
  <c r="J206" i="117"/>
  <c r="J213" i="117" s="1"/>
  <c r="E206" i="117"/>
  <c r="E209" i="117" s="1"/>
  <c r="D206" i="117"/>
  <c r="C206" i="117"/>
  <c r="C209" i="117" s="1"/>
  <c r="O204" i="117"/>
  <c r="N204" i="117"/>
  <c r="M204" i="117"/>
  <c r="L204" i="117"/>
  <c r="K204" i="117"/>
  <c r="J204" i="117"/>
  <c r="I204" i="117"/>
  <c r="H204" i="117"/>
  <c r="G204" i="117"/>
  <c r="F204" i="117"/>
  <c r="E204" i="117"/>
  <c r="D204" i="117"/>
  <c r="C204" i="117"/>
  <c r="O176" i="117"/>
  <c r="N176" i="117"/>
  <c r="M176" i="117"/>
  <c r="L176" i="117"/>
  <c r="K176" i="117"/>
  <c r="J176" i="117"/>
  <c r="I176" i="117"/>
  <c r="H176" i="117"/>
  <c r="G176" i="117"/>
  <c r="F176" i="117"/>
  <c r="E176" i="117"/>
  <c r="D176" i="117"/>
  <c r="C176" i="117"/>
  <c r="N170" i="117"/>
  <c r="J170" i="117"/>
  <c r="H170" i="117"/>
  <c r="G170" i="117"/>
  <c r="O169" i="117"/>
  <c r="O170" i="117" s="1"/>
  <c r="N169" i="117"/>
  <c r="M169" i="117"/>
  <c r="M170" i="117" s="1"/>
  <c r="K168" i="117"/>
  <c r="F168" i="117"/>
  <c r="L167" i="117"/>
  <c r="I167" i="117"/>
  <c r="F167" i="117"/>
  <c r="E167" i="117"/>
  <c r="D167" i="117"/>
  <c r="I166" i="117"/>
  <c r="E166" i="117"/>
  <c r="O165" i="117"/>
  <c r="N165" i="117"/>
  <c r="M165" i="117"/>
  <c r="L165" i="117"/>
  <c r="K165" i="117"/>
  <c r="J165" i="117"/>
  <c r="I165" i="117"/>
  <c r="H165" i="117"/>
  <c r="G165" i="117"/>
  <c r="F165" i="117"/>
  <c r="E165" i="117"/>
  <c r="D165" i="117"/>
  <c r="C165" i="117"/>
  <c r="O161" i="117"/>
  <c r="H161" i="117"/>
  <c r="O160" i="117"/>
  <c r="N160" i="117"/>
  <c r="N161" i="117" s="1"/>
  <c r="M160" i="117"/>
  <c r="M161" i="117" s="1"/>
  <c r="L160" i="117"/>
  <c r="L161" i="117" s="1"/>
  <c r="H160" i="117"/>
  <c r="G160" i="117"/>
  <c r="E160" i="117"/>
  <c r="E161" i="117" s="1"/>
  <c r="J159" i="117"/>
  <c r="I159" i="117"/>
  <c r="G159" i="117"/>
  <c r="D159" i="117"/>
  <c r="J158" i="117"/>
  <c r="I158" i="117"/>
  <c r="I160" i="117" s="1"/>
  <c r="G158" i="117"/>
  <c r="F158" i="117"/>
  <c r="D158" i="117"/>
  <c r="C158" i="117"/>
  <c r="C160" i="117" s="1"/>
  <c r="C161" i="117" s="1"/>
  <c r="K157" i="117"/>
  <c r="J157" i="117"/>
  <c r="J160" i="117" s="1"/>
  <c r="J161" i="117" s="1"/>
  <c r="I157" i="117"/>
  <c r="G157" i="117"/>
  <c r="E157" i="117"/>
  <c r="D157" i="117"/>
  <c r="C157" i="117"/>
  <c r="O156" i="117"/>
  <c r="N156" i="117"/>
  <c r="M156" i="117"/>
  <c r="L156" i="117"/>
  <c r="K156" i="117"/>
  <c r="J156" i="117"/>
  <c r="I156" i="117"/>
  <c r="H156" i="117"/>
  <c r="G156" i="117"/>
  <c r="F156" i="117"/>
  <c r="E156" i="117"/>
  <c r="D156" i="117"/>
  <c r="C156" i="117"/>
  <c r="C46" i="117"/>
  <c r="D39" i="117"/>
  <c r="AB37" i="117"/>
  <c r="Z37" i="117"/>
  <c r="AB36" i="117"/>
  <c r="Z36" i="117"/>
  <c r="AB35" i="117"/>
  <c r="AA35" i="117"/>
  <c r="W35" i="117"/>
  <c r="X34" i="117"/>
  <c r="AD32" i="117"/>
  <c r="AB32" i="117"/>
  <c r="AA32" i="117"/>
  <c r="X32" i="117"/>
  <c r="AE32" i="117" s="1"/>
  <c r="W32" i="117"/>
  <c r="J31" i="117"/>
  <c r="J46" i="117" s="1"/>
  <c r="E31" i="117"/>
  <c r="E46" i="117" s="1"/>
  <c r="C31" i="117"/>
  <c r="AB30" i="117"/>
  <c r="E30" i="117"/>
  <c r="E45" i="117" s="1"/>
  <c r="W29" i="117"/>
  <c r="AE29" i="117" s="1"/>
  <c r="J29" i="117"/>
  <c r="J44" i="117" s="1"/>
  <c r="H29" i="117"/>
  <c r="H44" i="117" s="1"/>
  <c r="J28" i="117"/>
  <c r="J43" i="117" s="1"/>
  <c r="AD27" i="117"/>
  <c r="AC27" i="117"/>
  <c r="W27" i="117"/>
  <c r="W26" i="117"/>
  <c r="AD25" i="117"/>
  <c r="W25" i="117"/>
  <c r="L25" i="117"/>
  <c r="L40" i="117" s="1"/>
  <c r="J25" i="117"/>
  <c r="J40" i="117" s="1"/>
  <c r="J24" i="117"/>
  <c r="J39" i="117" s="1"/>
  <c r="G24" i="117"/>
  <c r="G161" i="117" s="1"/>
  <c r="E24" i="117"/>
  <c r="E39" i="117" s="1"/>
  <c r="D24" i="117"/>
  <c r="C24" i="117"/>
  <c r="A21" i="117"/>
  <c r="E17" i="117"/>
  <c r="D17" i="117"/>
  <c r="B17" i="117"/>
  <c r="E16" i="117"/>
  <c r="B16" i="117"/>
  <c r="D15" i="117"/>
  <c r="C15" i="117"/>
  <c r="E14" i="117"/>
  <c r="D14" i="117"/>
  <c r="C14" i="117"/>
  <c r="B14" i="117"/>
  <c r="D13" i="117"/>
  <c r="C13" i="117"/>
  <c r="E12" i="117"/>
  <c r="D12" i="117"/>
  <c r="C12" i="117"/>
  <c r="B12" i="117"/>
  <c r="D11" i="117"/>
  <c r="C11" i="117"/>
  <c r="B11" i="117"/>
  <c r="D10" i="117"/>
  <c r="C10" i="117"/>
  <c r="M98" i="118" l="1"/>
  <c r="M141" i="118"/>
  <c r="Q217" i="118"/>
  <c r="Q218" i="118" s="1"/>
  <c r="G206" i="117"/>
  <c r="G213" i="117" s="1"/>
  <c r="G216" i="117" s="1"/>
  <c r="M44" i="118"/>
  <c r="Q44" i="118" s="1"/>
  <c r="M108" i="118"/>
  <c r="Q108" i="118" s="1"/>
  <c r="D209" i="117"/>
  <c r="D213" i="117"/>
  <c r="D216" i="117" s="1"/>
  <c r="I225" i="117"/>
  <c r="I232" i="117" s="1"/>
  <c r="M276" i="118"/>
  <c r="Q276" i="118" s="1"/>
  <c r="M107" i="118"/>
  <c r="M264" i="118"/>
  <c r="J47" i="117"/>
  <c r="J32" i="117"/>
  <c r="D160" i="117"/>
  <c r="D161" i="117" s="1"/>
  <c r="I169" i="117"/>
  <c r="E213" i="117"/>
  <c r="E216" i="117" s="1"/>
  <c r="F362" i="118"/>
  <c r="F340" i="118"/>
  <c r="G327" i="118"/>
  <c r="E13" i="117" s="1"/>
  <c r="H45" i="118"/>
  <c r="J43" i="118"/>
  <c r="M111" i="118"/>
  <c r="O111" i="118"/>
  <c r="Q111" i="118" s="1"/>
  <c r="O210" i="117"/>
  <c r="E363" i="118"/>
  <c r="E341" i="118"/>
  <c r="M92" i="118"/>
  <c r="O92" i="118"/>
  <c r="O131" i="118"/>
  <c r="M131" i="118"/>
  <c r="C39" i="117"/>
  <c r="M16" i="118"/>
  <c r="Q16" i="118" s="1"/>
  <c r="K18" i="118"/>
  <c r="G25" i="118"/>
  <c r="O30" i="118"/>
  <c r="M30" i="118"/>
  <c r="Q59" i="118"/>
  <c r="J112" i="118"/>
  <c r="M236" i="117"/>
  <c r="M235" i="117"/>
  <c r="J12" i="118"/>
  <c r="J20" i="118"/>
  <c r="J324" i="118" s="1"/>
  <c r="H11" i="117" s="1"/>
  <c r="H25" i="118"/>
  <c r="E365" i="118"/>
  <c r="E343" i="118"/>
  <c r="D366" i="118"/>
  <c r="D344" i="118"/>
  <c r="G32" i="117"/>
  <c r="N211" i="117"/>
  <c r="O11" i="118"/>
  <c r="M11" i="118"/>
  <c r="M41" i="118"/>
  <c r="M50" i="118"/>
  <c r="O50" i="118"/>
  <c r="C214" i="117"/>
  <c r="O18" i="118"/>
  <c r="O29" i="118"/>
  <c r="M29" i="118"/>
  <c r="G39" i="117"/>
  <c r="G47" i="117" s="1"/>
  <c r="C213" i="117"/>
  <c r="N218" i="117"/>
  <c r="D232" i="117"/>
  <c r="O325" i="118"/>
  <c r="Q38" i="118"/>
  <c r="M60" i="118"/>
  <c r="M63" i="118"/>
  <c r="O63" i="118"/>
  <c r="G209" i="117"/>
  <c r="J25" i="118"/>
  <c r="O21" i="118"/>
  <c r="Q21" i="118" s="1"/>
  <c r="M21" i="118"/>
  <c r="D53" i="118"/>
  <c r="D54" i="118" s="1"/>
  <c r="K48" i="118"/>
  <c r="F226" i="117"/>
  <c r="F233" i="117" s="1"/>
  <c r="F234" i="117" s="1"/>
  <c r="E331" i="118"/>
  <c r="C17" i="117" s="1"/>
  <c r="G324" i="118"/>
  <c r="E11" i="117" s="1"/>
  <c r="G12" i="118"/>
  <c r="I25" i="118"/>
  <c r="J23" i="118"/>
  <c r="J24" i="118"/>
  <c r="K60" i="118"/>
  <c r="M62" i="118"/>
  <c r="F343" i="118"/>
  <c r="F365" i="118"/>
  <c r="G366" i="118"/>
  <c r="G344" i="118"/>
  <c r="M99" i="118"/>
  <c r="O99" i="118"/>
  <c r="Q99" i="118" s="1"/>
  <c r="O130" i="118"/>
  <c r="Q130" i="118" s="1"/>
  <c r="M130" i="118"/>
  <c r="O133" i="118"/>
  <c r="M133" i="118"/>
  <c r="G145" i="118"/>
  <c r="Q176" i="118"/>
  <c r="Q186" i="118"/>
  <c r="K33" i="118"/>
  <c r="G53" i="118"/>
  <c r="G54" i="118" s="1"/>
  <c r="K47" i="118"/>
  <c r="E364" i="118"/>
  <c r="E342" i="118"/>
  <c r="H122" i="118"/>
  <c r="J121" i="118"/>
  <c r="J122" i="118" s="1"/>
  <c r="I135" i="118"/>
  <c r="I136" i="118" s="1"/>
  <c r="J128" i="118"/>
  <c r="J135" i="118" s="1"/>
  <c r="K163" i="118"/>
  <c r="G168" i="118"/>
  <c r="M274" i="118"/>
  <c r="Q272" i="118"/>
  <c r="Q274" i="118" s="1"/>
  <c r="K12" i="118"/>
  <c r="J33" i="118"/>
  <c r="J47" i="118"/>
  <c r="J53" i="118" s="1"/>
  <c r="J49" i="118"/>
  <c r="K49" i="118" s="1"/>
  <c r="K67" i="118"/>
  <c r="J69" i="118"/>
  <c r="K87" i="118"/>
  <c r="M86" i="118"/>
  <c r="M87" i="118" s="1"/>
  <c r="K91" i="118"/>
  <c r="G93" i="118"/>
  <c r="J367" i="118"/>
  <c r="J345" i="118"/>
  <c r="O100" i="118"/>
  <c r="Q100" i="118" s="1"/>
  <c r="M100" i="118"/>
  <c r="G112" i="118"/>
  <c r="G136" i="118" s="1"/>
  <c r="J212" i="118"/>
  <c r="K211" i="118"/>
  <c r="G372" i="118"/>
  <c r="G350" i="118"/>
  <c r="Q72" i="118"/>
  <c r="O117" i="118"/>
  <c r="O172" i="118"/>
  <c r="M172" i="118"/>
  <c r="M9" i="118"/>
  <c r="K10" i="118"/>
  <c r="M17" i="118"/>
  <c r="Q17" i="118" s="1"/>
  <c r="K52" i="118"/>
  <c r="H53" i="118"/>
  <c r="H54" i="118" s="1"/>
  <c r="K71" i="118"/>
  <c r="H74" i="118"/>
  <c r="H82" i="118" s="1"/>
  <c r="M81" i="118"/>
  <c r="O81" i="118"/>
  <c r="Q81" i="118" s="1"/>
  <c r="J366" i="118"/>
  <c r="J344" i="118"/>
  <c r="E136" i="118"/>
  <c r="E308" i="118" s="1"/>
  <c r="K104" i="118"/>
  <c r="K134" i="118"/>
  <c r="K189" i="118"/>
  <c r="M185" i="118"/>
  <c r="O9" i="118"/>
  <c r="D340" i="118"/>
  <c r="D362" i="118"/>
  <c r="D363" i="118"/>
  <c r="D341" i="118"/>
  <c r="F330" i="118"/>
  <c r="D16" i="117" s="1"/>
  <c r="D18" i="117" s="1"/>
  <c r="F54" i="118"/>
  <c r="M36" i="118"/>
  <c r="Q36" i="118" s="1"/>
  <c r="O98" i="118"/>
  <c r="Q98" i="118" s="1"/>
  <c r="K106" i="118"/>
  <c r="O107" i="118"/>
  <c r="M110" i="118"/>
  <c r="Q110" i="118" s="1"/>
  <c r="M116" i="118"/>
  <c r="K119" i="118"/>
  <c r="M118" i="118"/>
  <c r="O118" i="118"/>
  <c r="Q118" i="118" s="1"/>
  <c r="H135" i="118"/>
  <c r="H136" i="118" s="1"/>
  <c r="J129" i="118"/>
  <c r="K129" i="118" s="1"/>
  <c r="H164" i="118"/>
  <c r="H195" i="118" s="1"/>
  <c r="J160" i="118"/>
  <c r="J323" i="118" s="1"/>
  <c r="M177" i="118"/>
  <c r="Q177" i="118" s="1"/>
  <c r="E340" i="118"/>
  <c r="E362" i="118"/>
  <c r="F363" i="118"/>
  <c r="F341" i="118"/>
  <c r="J34" i="118"/>
  <c r="K32" i="118"/>
  <c r="G82" i="118"/>
  <c r="K80" i="118"/>
  <c r="O87" i="118"/>
  <c r="O344" i="118" s="1"/>
  <c r="O109" i="118"/>
  <c r="M109" i="118"/>
  <c r="O142" i="118"/>
  <c r="M142" i="118"/>
  <c r="S144" i="118"/>
  <c r="R144" i="118"/>
  <c r="J183" i="117" s="1"/>
  <c r="J195" i="117" s="1"/>
  <c r="J330" i="118"/>
  <c r="H16" i="117" s="1"/>
  <c r="K37" i="118"/>
  <c r="D329" i="118"/>
  <c r="B15" i="117" s="1"/>
  <c r="K97" i="118"/>
  <c r="K101" i="118"/>
  <c r="K114" i="118"/>
  <c r="E347" i="118"/>
  <c r="E369" i="118"/>
  <c r="M150" i="118"/>
  <c r="Q150" i="118" s="1"/>
  <c r="K168" i="118"/>
  <c r="K173" i="118"/>
  <c r="E227" i="118"/>
  <c r="E251" i="118" s="1"/>
  <c r="K225" i="118"/>
  <c r="O126" i="118"/>
  <c r="J145" i="118"/>
  <c r="K178" i="118"/>
  <c r="M178" i="118" s="1"/>
  <c r="Q178" i="118" s="1"/>
  <c r="I220" i="118"/>
  <c r="F346" i="118"/>
  <c r="F368" i="118"/>
  <c r="K145" i="118"/>
  <c r="D347" i="118"/>
  <c r="D369" i="118"/>
  <c r="E348" i="118"/>
  <c r="E370" i="118"/>
  <c r="J174" i="118"/>
  <c r="K181" i="118"/>
  <c r="J192" i="118"/>
  <c r="K192" i="118" s="1"/>
  <c r="M199" i="118"/>
  <c r="M200" i="118" s="1"/>
  <c r="K200" i="118"/>
  <c r="S218" i="118"/>
  <c r="R218" i="118"/>
  <c r="D372" i="118"/>
  <c r="D350" i="118"/>
  <c r="E374" i="118"/>
  <c r="E352" i="118"/>
  <c r="F347" i="118"/>
  <c r="F369" i="118"/>
  <c r="M157" i="118"/>
  <c r="Q157" i="118" s="1"/>
  <c r="D326" i="118"/>
  <c r="B13" i="117" s="1"/>
  <c r="B18" i="117" s="1"/>
  <c r="O58" i="118"/>
  <c r="K64" i="118"/>
  <c r="K79" i="118"/>
  <c r="K124" i="118"/>
  <c r="M125" i="118"/>
  <c r="Q125" i="118" s="1"/>
  <c r="D135" i="118"/>
  <c r="D136" i="118" s="1"/>
  <c r="K128" i="118"/>
  <c r="K132" i="118"/>
  <c r="M140" i="118"/>
  <c r="K151" i="118"/>
  <c r="H158" i="118"/>
  <c r="J154" i="118"/>
  <c r="O155" i="118"/>
  <c r="G166" i="118"/>
  <c r="K161" i="118"/>
  <c r="G374" i="118"/>
  <c r="G352" i="118"/>
  <c r="G329" i="118"/>
  <c r="E15" i="117" s="1"/>
  <c r="K70" i="118"/>
  <c r="D74" i="118"/>
  <c r="H112" i="118"/>
  <c r="O140" i="118"/>
  <c r="O141" i="118"/>
  <c r="Q141" i="118" s="1"/>
  <c r="M143" i="118"/>
  <c r="Q143" i="118" s="1"/>
  <c r="I145" i="118"/>
  <c r="K156" i="118"/>
  <c r="G158" i="118"/>
  <c r="K179" i="118"/>
  <c r="O188" i="118"/>
  <c r="O189" i="118" s="1"/>
  <c r="M188" i="118"/>
  <c r="J193" i="118"/>
  <c r="K191" i="118"/>
  <c r="Q199" i="118"/>
  <c r="Q200" i="118" s="1"/>
  <c r="O200" i="118"/>
  <c r="Q202" i="118"/>
  <c r="Q203" i="118" s="1"/>
  <c r="M203" i="118"/>
  <c r="H220" i="118"/>
  <c r="K22" i="118"/>
  <c r="E330" i="118"/>
  <c r="C16" i="117" s="1"/>
  <c r="C18" i="117" s="1"/>
  <c r="K51" i="118"/>
  <c r="D76" i="118"/>
  <c r="K76" i="118" s="1"/>
  <c r="J119" i="118"/>
  <c r="G122" i="118"/>
  <c r="K121" i="118"/>
  <c r="G126" i="118"/>
  <c r="M149" i="118"/>
  <c r="G164" i="118"/>
  <c r="I164" i="118"/>
  <c r="I195" i="118" s="1"/>
  <c r="O162" i="118"/>
  <c r="Q162" i="118" s="1"/>
  <c r="D174" i="118"/>
  <c r="K171" i="118"/>
  <c r="I193" i="118"/>
  <c r="E371" i="118"/>
  <c r="E349" i="118"/>
  <c r="G220" i="118"/>
  <c r="M229" i="118"/>
  <c r="K231" i="118"/>
  <c r="X35" i="117" s="1"/>
  <c r="M233" i="118"/>
  <c r="D214" i="118"/>
  <c r="D209" i="118"/>
  <c r="J251" i="118"/>
  <c r="F372" i="118"/>
  <c r="F350" i="118"/>
  <c r="G278" i="118"/>
  <c r="K296" i="118"/>
  <c r="M294" i="118"/>
  <c r="G179" i="118"/>
  <c r="K205" i="118"/>
  <c r="O218" i="118"/>
  <c r="M241" i="118"/>
  <c r="K243" i="118"/>
  <c r="Z35" i="117" s="1"/>
  <c r="Q286" i="118"/>
  <c r="Q288" i="118" s="1"/>
  <c r="M288" i="118"/>
  <c r="K208" i="118"/>
  <c r="D374" i="118"/>
  <c r="D352" i="118"/>
  <c r="S302" i="118"/>
  <c r="R302" i="118"/>
  <c r="F332" i="118"/>
  <c r="I251" i="118"/>
  <c r="M260" i="118"/>
  <c r="K262" i="118"/>
  <c r="Q264" i="118"/>
  <c r="Q266" i="118" s="1"/>
  <c r="M266" i="118"/>
  <c r="J278" i="118"/>
  <c r="M237" i="118"/>
  <c r="M249" i="118"/>
  <c r="Q249" i="118" s="1"/>
  <c r="K256" i="118"/>
  <c r="E258" i="118"/>
  <c r="E278" i="118" s="1"/>
  <c r="M298" i="118"/>
  <c r="K300" i="118"/>
  <c r="F348" i="118"/>
  <c r="Q245" i="118"/>
  <c r="Q247" i="118" s="1"/>
  <c r="M247" i="118"/>
  <c r="Q268" i="118"/>
  <c r="Q270" i="118" s="1"/>
  <c r="M270" i="118"/>
  <c r="S276" i="118"/>
  <c r="R276" i="118"/>
  <c r="J300" i="118"/>
  <c r="J304" i="118" s="1"/>
  <c r="F349" i="118"/>
  <c r="E10" i="119"/>
  <c r="J262" i="118"/>
  <c r="K282" i="118"/>
  <c r="K266" i="118"/>
  <c r="J296" i="118"/>
  <c r="D351" i="118"/>
  <c r="E6" i="119"/>
  <c r="K290" i="118"/>
  <c r="E18" i="117" l="1"/>
  <c r="Q109" i="118"/>
  <c r="Q133" i="118"/>
  <c r="Q86" i="118"/>
  <c r="H308" i="118"/>
  <c r="I308" i="118"/>
  <c r="S143" i="118"/>
  <c r="R143" i="118"/>
  <c r="J182" i="117" s="1"/>
  <c r="J194" i="117" s="1"/>
  <c r="H10" i="117"/>
  <c r="G346" i="118"/>
  <c r="G368" i="118"/>
  <c r="S266" i="118"/>
  <c r="R266" i="118"/>
  <c r="S141" i="118"/>
  <c r="R141" i="118"/>
  <c r="J179" i="117" s="1"/>
  <c r="J191" i="117" s="1"/>
  <c r="S36" i="118"/>
  <c r="R36" i="118"/>
  <c r="E178" i="117" s="1"/>
  <c r="Q9" i="118"/>
  <c r="O49" i="118"/>
  <c r="Q49" i="118" s="1"/>
  <c r="M49" i="118"/>
  <c r="M179" i="118"/>
  <c r="J329" i="118"/>
  <c r="H15" i="117" s="1"/>
  <c r="K24" i="118"/>
  <c r="O48" i="118"/>
  <c r="Q48" i="118" s="1"/>
  <c r="M48" i="118"/>
  <c r="Q18" i="118"/>
  <c r="K20" i="118"/>
  <c r="Q131" i="118"/>
  <c r="Q241" i="118"/>
  <c r="Q243" i="118" s="1"/>
  <c r="M243" i="118"/>
  <c r="M191" i="118"/>
  <c r="K193" i="118"/>
  <c r="E332" i="118"/>
  <c r="G371" i="118"/>
  <c r="G349" i="118"/>
  <c r="X36" i="117"/>
  <c r="X37" i="117"/>
  <c r="K167" i="117"/>
  <c r="M282" i="118"/>
  <c r="K284" i="118"/>
  <c r="E373" i="118"/>
  <c r="E351" i="118"/>
  <c r="Q260" i="118"/>
  <c r="Q262" i="118" s="1"/>
  <c r="M262" i="118"/>
  <c r="K209" i="118"/>
  <c r="M208" i="118"/>
  <c r="M296" i="118"/>
  <c r="Q294" i="118"/>
  <c r="Q296" i="118" s="1"/>
  <c r="K122" i="118"/>
  <c r="M121" i="118"/>
  <c r="O145" i="118"/>
  <c r="O347" i="118" s="1"/>
  <c r="Q140" i="118"/>
  <c r="K135" i="118"/>
  <c r="O128" i="118"/>
  <c r="M128" i="118"/>
  <c r="M256" i="118"/>
  <c r="K258" i="118"/>
  <c r="K278" i="118" s="1"/>
  <c r="K174" i="118"/>
  <c r="M171" i="118"/>
  <c r="S203" i="118"/>
  <c r="R203" i="118"/>
  <c r="L179" i="117" s="1"/>
  <c r="G195" i="118"/>
  <c r="Q155" i="118"/>
  <c r="D346" i="118"/>
  <c r="D368" i="118"/>
  <c r="J369" i="118"/>
  <c r="J347" i="118"/>
  <c r="M80" i="118"/>
  <c r="F364" i="118"/>
  <c r="F376" i="118" s="1"/>
  <c r="F379" i="118" s="1"/>
  <c r="F342" i="118"/>
  <c r="M189" i="118"/>
  <c r="Q185" i="118"/>
  <c r="K212" i="118"/>
  <c r="M211" i="118"/>
  <c r="G367" i="118"/>
  <c r="G345" i="118"/>
  <c r="Q179" i="118"/>
  <c r="J327" i="118"/>
  <c r="H13" i="117" s="1"/>
  <c r="D168" i="117"/>
  <c r="D226" i="117"/>
  <c r="D364" i="118"/>
  <c r="D342" i="118"/>
  <c r="Q63" i="118"/>
  <c r="C216" i="117"/>
  <c r="J362" i="118"/>
  <c r="J340" i="118"/>
  <c r="D31" i="117"/>
  <c r="AD26" i="117"/>
  <c r="F308" i="118"/>
  <c r="J373" i="118"/>
  <c r="J351" i="118"/>
  <c r="Q229" i="118"/>
  <c r="Q231" i="118" s="1"/>
  <c r="M231" i="118"/>
  <c r="K206" i="118"/>
  <c r="M205" i="118"/>
  <c r="M206" i="118" s="1"/>
  <c r="O205" i="118"/>
  <c r="D220" i="118"/>
  <c r="Q149" i="118"/>
  <c r="W37" i="117"/>
  <c r="W36" i="117"/>
  <c r="S86" i="118"/>
  <c r="S87" i="118" s="1"/>
  <c r="R86" i="118"/>
  <c r="Q87" i="118"/>
  <c r="Q344" i="118" s="1"/>
  <c r="R249" i="118"/>
  <c r="S249" i="118"/>
  <c r="F334" i="118"/>
  <c r="S288" i="118"/>
  <c r="R288" i="118"/>
  <c r="G351" i="118"/>
  <c r="G373" i="118"/>
  <c r="Q233" i="118"/>
  <c r="Q235" i="118" s="1"/>
  <c r="M235" i="118"/>
  <c r="D195" i="118"/>
  <c r="D82" i="118"/>
  <c r="F157" i="117"/>
  <c r="J158" i="118"/>
  <c r="K154" i="118"/>
  <c r="O328" i="118"/>
  <c r="O114" i="118"/>
  <c r="M114" i="118"/>
  <c r="I24" i="117"/>
  <c r="W31" i="117"/>
  <c r="G343" i="118"/>
  <c r="G365" i="118"/>
  <c r="I27" i="117"/>
  <c r="I42" i="117" s="1"/>
  <c r="Z31" i="117"/>
  <c r="AA33" i="117"/>
  <c r="K28" i="117"/>
  <c r="K43" i="117" s="1"/>
  <c r="Q172" i="118"/>
  <c r="J214" i="118"/>
  <c r="K214" i="118" s="1"/>
  <c r="G215" i="118" s="1"/>
  <c r="J220" i="118"/>
  <c r="L168" i="117"/>
  <c r="O91" i="118"/>
  <c r="M91" i="118"/>
  <c r="M93" i="118" s="1"/>
  <c r="K93" i="118"/>
  <c r="X30" i="117"/>
  <c r="AE30" i="117" s="1"/>
  <c r="H25" i="117"/>
  <c r="O163" i="118"/>
  <c r="G169" i="118" s="1"/>
  <c r="M163" i="118"/>
  <c r="G347" i="118"/>
  <c r="G369" i="118"/>
  <c r="Q11" i="118"/>
  <c r="M18" i="118"/>
  <c r="Q92" i="118"/>
  <c r="G332" i="118"/>
  <c r="M290" i="118"/>
  <c r="K292" i="118"/>
  <c r="K304" i="118" s="1"/>
  <c r="S247" i="118"/>
  <c r="R247" i="118"/>
  <c r="Q237" i="118"/>
  <c r="Q239" i="118" s="1"/>
  <c r="M239" i="118"/>
  <c r="S200" i="118"/>
  <c r="R200" i="118"/>
  <c r="O70" i="118"/>
  <c r="Q70" i="118" s="1"/>
  <c r="M70" i="118"/>
  <c r="K328" i="118"/>
  <c r="K126" i="118"/>
  <c r="M124" i="118"/>
  <c r="AD34" i="117"/>
  <c r="L31" i="117"/>
  <c r="L46" i="117" s="1"/>
  <c r="M225" i="118"/>
  <c r="K227" i="118"/>
  <c r="K251" i="118" s="1"/>
  <c r="O101" i="118"/>
  <c r="M101" i="118"/>
  <c r="K34" i="118"/>
  <c r="M32" i="118"/>
  <c r="O32" i="118"/>
  <c r="Q116" i="118"/>
  <c r="M119" i="118"/>
  <c r="O134" i="118"/>
  <c r="Q134" i="118" s="1"/>
  <c r="M134" i="118"/>
  <c r="O71" i="118"/>
  <c r="M71" i="118"/>
  <c r="K166" i="118"/>
  <c r="D332" i="118"/>
  <c r="K53" i="118"/>
  <c r="O47" i="118"/>
  <c r="M47" i="118"/>
  <c r="M53" i="118" s="1"/>
  <c r="G362" i="118"/>
  <c r="G340" i="118"/>
  <c r="G308" i="118"/>
  <c r="S21" i="118"/>
  <c r="R21" i="118"/>
  <c r="D178" i="117" s="1"/>
  <c r="J45" i="118"/>
  <c r="J54" i="118" s="1"/>
  <c r="K43" i="118"/>
  <c r="O156" i="118"/>
  <c r="M156" i="118"/>
  <c r="O151" i="118"/>
  <c r="M151" i="118"/>
  <c r="M152" i="118" s="1"/>
  <c r="K152" i="118"/>
  <c r="O79" i="118"/>
  <c r="M79" i="118"/>
  <c r="F166" i="117"/>
  <c r="F169" i="117" s="1"/>
  <c r="F27" i="117"/>
  <c r="F42" i="117" s="1"/>
  <c r="Z28" i="117"/>
  <c r="K369" i="118"/>
  <c r="O369" i="118" s="1"/>
  <c r="K347" i="118"/>
  <c r="J34" i="117" s="1"/>
  <c r="J35" i="117" s="1"/>
  <c r="K146" i="118"/>
  <c r="E372" i="118"/>
  <c r="E350" i="118"/>
  <c r="O97" i="118"/>
  <c r="K102" i="118"/>
  <c r="M97" i="118"/>
  <c r="Q142" i="118"/>
  <c r="J207" i="117"/>
  <c r="J164" i="118"/>
  <c r="K160" i="118"/>
  <c r="O104" i="118"/>
  <c r="M104" i="118"/>
  <c r="AC31" i="117"/>
  <c r="I30" i="117"/>
  <c r="I45" i="117" s="1"/>
  <c r="K366" i="118"/>
  <c r="O366" i="118" s="1"/>
  <c r="K344" i="118"/>
  <c r="G34" i="117" s="1"/>
  <c r="G35" i="117" s="1"/>
  <c r="K88" i="118"/>
  <c r="K340" i="118"/>
  <c r="K13" i="118"/>
  <c r="K362" i="118"/>
  <c r="J136" i="118"/>
  <c r="G342" i="118"/>
  <c r="G364" i="118"/>
  <c r="J341" i="118"/>
  <c r="J363" i="118"/>
  <c r="O64" i="118"/>
  <c r="M64" i="118"/>
  <c r="M192" i="118"/>
  <c r="O192" i="118"/>
  <c r="O173" i="118"/>
  <c r="Q173" i="118" s="1"/>
  <c r="M173" i="118"/>
  <c r="O112" i="118"/>
  <c r="Q107" i="118"/>
  <c r="E346" i="118"/>
  <c r="E354" i="118" s="1"/>
  <c r="E356" i="118" s="1"/>
  <c r="E368" i="118"/>
  <c r="M52" i="118"/>
  <c r="O52" i="118"/>
  <c r="Q52" i="118" s="1"/>
  <c r="O119" i="118"/>
  <c r="I224" i="117" s="1"/>
  <c r="Q117" i="118"/>
  <c r="K69" i="118"/>
  <c r="J74" i="118"/>
  <c r="K331" i="118"/>
  <c r="O33" i="118"/>
  <c r="M33" i="118"/>
  <c r="M65" i="118"/>
  <c r="Q62" i="118"/>
  <c r="F227" i="117"/>
  <c r="Q50" i="118"/>
  <c r="Q30" i="118"/>
  <c r="K23" i="118"/>
  <c r="I170" i="117"/>
  <c r="J374" i="118"/>
  <c r="J352" i="118"/>
  <c r="O51" i="118"/>
  <c r="Q51" i="118" s="1"/>
  <c r="M51" i="118"/>
  <c r="K326" i="118"/>
  <c r="M22" i="118"/>
  <c r="O22" i="118"/>
  <c r="D166" i="117"/>
  <c r="D27" i="117"/>
  <c r="Z26" i="117"/>
  <c r="M145" i="118"/>
  <c r="Q58" i="118"/>
  <c r="Q60" i="118" s="1"/>
  <c r="O60" i="118"/>
  <c r="K325" i="118"/>
  <c r="M37" i="118"/>
  <c r="Q37" i="118" s="1"/>
  <c r="E26" i="117"/>
  <c r="Y27" i="117"/>
  <c r="O129" i="118"/>
  <c r="M129" i="118"/>
  <c r="K112" i="118"/>
  <c r="M106" i="118"/>
  <c r="O67" i="118"/>
  <c r="M67" i="118"/>
  <c r="X28" i="117"/>
  <c r="F25" i="117"/>
  <c r="F40" i="117" s="1"/>
  <c r="S274" i="118"/>
  <c r="R274" i="118"/>
  <c r="K65" i="118"/>
  <c r="K330" i="118"/>
  <c r="J350" i="118"/>
  <c r="J372" i="118"/>
  <c r="K158" i="117"/>
  <c r="Q298" i="118"/>
  <c r="Q300" i="118" s="1"/>
  <c r="M300" i="118"/>
  <c r="Q188" i="118"/>
  <c r="O161" i="118"/>
  <c r="M161" i="118"/>
  <c r="O132" i="118"/>
  <c r="M132" i="118"/>
  <c r="E376" i="118"/>
  <c r="E379" i="118" s="1"/>
  <c r="K324" i="118"/>
  <c r="M10" i="118"/>
  <c r="M12" i="118" s="1"/>
  <c r="X25" i="117"/>
  <c r="O10" i="118"/>
  <c r="C25" i="117"/>
  <c r="F31" i="117"/>
  <c r="F46" i="117" s="1"/>
  <c r="AD28" i="117"/>
  <c r="Q29" i="118"/>
  <c r="G363" i="118"/>
  <c r="G341" i="118"/>
  <c r="F354" i="118"/>
  <c r="F356" i="118" s="1"/>
  <c r="G167" i="118" l="1"/>
  <c r="Q71" i="118"/>
  <c r="Q156" i="118"/>
  <c r="Q104" i="118"/>
  <c r="K374" i="118"/>
  <c r="O374" i="118" s="1"/>
  <c r="K305" i="118"/>
  <c r="K352" i="118"/>
  <c r="O34" i="117" s="1"/>
  <c r="K350" i="118"/>
  <c r="M34" i="117" s="1"/>
  <c r="K252" i="118"/>
  <c r="K372" i="118"/>
  <c r="O372" i="118" s="1"/>
  <c r="J342" i="118"/>
  <c r="J364" i="118"/>
  <c r="K373" i="118"/>
  <c r="K351" i="118"/>
  <c r="N34" i="117" s="1"/>
  <c r="K279" i="118"/>
  <c r="K207" i="117"/>
  <c r="M166" i="118"/>
  <c r="Q10" i="118"/>
  <c r="J167" i="118"/>
  <c r="O167" i="118" s="1"/>
  <c r="Q161" i="118"/>
  <c r="F208" i="117"/>
  <c r="F159" i="117"/>
  <c r="J82" i="118"/>
  <c r="J308" i="118" s="1"/>
  <c r="I12" i="117"/>
  <c r="R26" i="117"/>
  <c r="Y149" i="117"/>
  <c r="D169" i="117"/>
  <c r="D170" i="117" s="1"/>
  <c r="Q192" i="118"/>
  <c r="O193" i="118"/>
  <c r="S29" i="118"/>
  <c r="R29" i="118"/>
  <c r="C40" i="117"/>
  <c r="C32" i="117"/>
  <c r="Q132" i="118"/>
  <c r="F30" i="117"/>
  <c r="AC28" i="117"/>
  <c r="M112" i="118"/>
  <c r="Q106" i="118"/>
  <c r="Q112" i="118" s="1"/>
  <c r="Q22" i="118"/>
  <c r="K327" i="118"/>
  <c r="M327" i="118" s="1"/>
  <c r="M23" i="118"/>
  <c r="Q23" i="118" s="1"/>
  <c r="Q33" i="118"/>
  <c r="K159" i="117"/>
  <c r="K31" i="117"/>
  <c r="K46" i="117" s="1"/>
  <c r="AD33" i="117"/>
  <c r="M34" i="118"/>
  <c r="M126" i="118"/>
  <c r="Q124" i="118"/>
  <c r="Q126" i="118" s="1"/>
  <c r="S92" i="118"/>
  <c r="R92" i="118"/>
  <c r="H183" i="117" s="1"/>
  <c r="H195" i="117" s="1"/>
  <c r="D233" i="117"/>
  <c r="Q211" i="118"/>
  <c r="Q212" i="118" s="1"/>
  <c r="M212" i="118"/>
  <c r="L191" i="117"/>
  <c r="O135" i="118"/>
  <c r="Q128" i="118"/>
  <c r="Q282" i="118"/>
  <c r="Q284" i="118" s="1"/>
  <c r="M284" i="118"/>
  <c r="S18" i="118"/>
  <c r="R18" i="118"/>
  <c r="D215" i="118"/>
  <c r="L224" i="117" s="1"/>
  <c r="R30" i="118"/>
  <c r="S30" i="118"/>
  <c r="R31" i="117"/>
  <c r="I17" i="117"/>
  <c r="AD149" i="117"/>
  <c r="J214" i="117"/>
  <c r="J216" i="117" s="1"/>
  <c r="J209" i="117"/>
  <c r="E25" i="117"/>
  <c r="X27" i="117"/>
  <c r="I28" i="117"/>
  <c r="AA31" i="117"/>
  <c r="J169" i="118"/>
  <c r="O169" i="118" s="1"/>
  <c r="Q163" i="118"/>
  <c r="J349" i="118"/>
  <c r="J371" i="118"/>
  <c r="M154" i="118"/>
  <c r="K158" i="118"/>
  <c r="S235" i="118"/>
  <c r="R235" i="118"/>
  <c r="Q168" i="117"/>
  <c r="K220" i="118"/>
  <c r="K136" i="118"/>
  <c r="I29" i="117"/>
  <c r="I44" i="117" s="1"/>
  <c r="AB31" i="117"/>
  <c r="Q208" i="118"/>
  <c r="Q209" i="118" s="1"/>
  <c r="M209" i="118"/>
  <c r="P167" i="117"/>
  <c r="Q167" i="117"/>
  <c r="AB33" i="117"/>
  <c r="K29" i="117"/>
  <c r="K44" i="117" s="1"/>
  <c r="R9" i="118"/>
  <c r="Q12" i="118"/>
  <c r="S9" i="118"/>
  <c r="Q151" i="118"/>
  <c r="O152" i="118"/>
  <c r="R28" i="117"/>
  <c r="AA149" i="117"/>
  <c r="I14" i="117"/>
  <c r="S11" i="118"/>
  <c r="R11" i="118"/>
  <c r="H32" i="117"/>
  <c r="H40" i="117"/>
  <c r="H47" i="117" s="1"/>
  <c r="J215" i="118"/>
  <c r="L225" i="117"/>
  <c r="L232" i="117" s="1"/>
  <c r="D371" i="118"/>
  <c r="D349" i="118"/>
  <c r="Q189" i="118"/>
  <c r="M174" i="118"/>
  <c r="Q171" i="118"/>
  <c r="Q174" i="118" s="1"/>
  <c r="Z34" i="117"/>
  <c r="AE34" i="117" s="1"/>
  <c r="L166" i="117"/>
  <c r="L169" i="117" s="1"/>
  <c r="L170" i="117" s="1"/>
  <c r="L27" i="117"/>
  <c r="M193" i="118"/>
  <c r="Q191" i="118"/>
  <c r="Q193" i="118" s="1"/>
  <c r="O12" i="118"/>
  <c r="Z149" i="117"/>
  <c r="Q64" i="118"/>
  <c r="O65" i="118"/>
  <c r="O330" i="118" s="1"/>
  <c r="AC149" i="117"/>
  <c r="I16" i="117"/>
  <c r="R30" i="117"/>
  <c r="Q129" i="118"/>
  <c r="S60" i="118"/>
  <c r="R60" i="118"/>
  <c r="M69" i="118"/>
  <c r="M74" i="118" s="1"/>
  <c r="M82" i="118" s="1"/>
  <c r="K74" i="118"/>
  <c r="O69" i="118"/>
  <c r="K323" i="118"/>
  <c r="J346" i="118"/>
  <c r="J368" i="118"/>
  <c r="M102" i="118"/>
  <c r="Q101" i="118"/>
  <c r="O174" i="118"/>
  <c r="R87" i="118"/>
  <c r="G178" i="117"/>
  <c r="O206" i="118"/>
  <c r="O220" i="118" s="1"/>
  <c r="O349" i="118" s="1"/>
  <c r="Q205" i="118"/>
  <c r="Q206" i="118" s="1"/>
  <c r="S179" i="118"/>
  <c r="R179" i="118"/>
  <c r="K181" i="117" s="1"/>
  <c r="K193" i="117" s="1"/>
  <c r="K166" i="117"/>
  <c r="K169" i="117" s="1"/>
  <c r="Z33" i="117"/>
  <c r="K27" i="117"/>
  <c r="K42" i="117" s="1"/>
  <c r="R140" i="118"/>
  <c r="S140" i="118"/>
  <c r="Q145" i="118"/>
  <c r="Q347" i="118" s="1"/>
  <c r="K329" i="118"/>
  <c r="M24" i="118"/>
  <c r="Q24" i="118" s="1"/>
  <c r="D29" i="117"/>
  <c r="AB26" i="117"/>
  <c r="I25" i="117"/>
  <c r="I40" i="117" s="1"/>
  <c r="X31" i="117"/>
  <c r="AE25" i="117"/>
  <c r="R25" i="117"/>
  <c r="X149" i="117"/>
  <c r="I11" i="117"/>
  <c r="Y39" i="117"/>
  <c r="Y38" i="117"/>
  <c r="Y150" i="117" s="1"/>
  <c r="AD31" i="117"/>
  <c r="AD39" i="117" s="1"/>
  <c r="I31" i="117"/>
  <c r="I46" i="117" s="1"/>
  <c r="K367" i="118"/>
  <c r="O367" i="118" s="1"/>
  <c r="K345" i="118"/>
  <c r="H34" i="117" s="1"/>
  <c r="H35" i="117" s="1"/>
  <c r="K94" i="118"/>
  <c r="AE31" i="117"/>
  <c r="F160" i="117"/>
  <c r="P157" i="117"/>
  <c r="Q157" i="117"/>
  <c r="S366" i="118"/>
  <c r="S344" i="118"/>
  <c r="D46" i="117"/>
  <c r="S262" i="118"/>
  <c r="R262" i="118"/>
  <c r="S243" i="118"/>
  <c r="R243" i="118"/>
  <c r="E190" i="117"/>
  <c r="E210" i="117"/>
  <c r="E211" i="117"/>
  <c r="R142" i="118"/>
  <c r="J178" i="117" s="1"/>
  <c r="S142" i="118"/>
  <c r="O362" i="118"/>
  <c r="AD35" i="117"/>
  <c r="AE35" i="117" s="1"/>
  <c r="M31" i="117"/>
  <c r="S300" i="118"/>
  <c r="R300" i="118"/>
  <c r="E41" i="117"/>
  <c r="P41" i="117" s="1"/>
  <c r="Q26" i="117"/>
  <c r="P26" i="117"/>
  <c r="Q65" i="118"/>
  <c r="I227" i="117"/>
  <c r="I231" i="117"/>
  <c r="I234" i="117" s="1"/>
  <c r="Q97" i="118"/>
  <c r="Q102" i="118" s="1"/>
  <c r="O102" i="118"/>
  <c r="O331" i="118" s="1"/>
  <c r="F170" i="117"/>
  <c r="M43" i="118"/>
  <c r="K45" i="118"/>
  <c r="O41" i="118"/>
  <c r="Q41" i="118" s="1"/>
  <c r="O53" i="118"/>
  <c r="Q47" i="118"/>
  <c r="Q53" i="118" s="1"/>
  <c r="M227" i="118"/>
  <c r="M251" i="118" s="1"/>
  <c r="Q225" i="118"/>
  <c r="Q227" i="118" s="1"/>
  <c r="L185" i="117"/>
  <c r="L197" i="117" s="1"/>
  <c r="I32" i="117"/>
  <c r="I39" i="117"/>
  <c r="I161" i="117"/>
  <c r="D365" i="118"/>
  <c r="D343" i="118"/>
  <c r="D354" i="118" s="1"/>
  <c r="D308" i="118"/>
  <c r="AE36" i="117"/>
  <c r="K25" i="118"/>
  <c r="O158" i="118"/>
  <c r="N31" i="117"/>
  <c r="AD36" i="117"/>
  <c r="M122" i="118"/>
  <c r="Q121" i="118"/>
  <c r="Q122" i="118" s="1"/>
  <c r="Q325" i="118"/>
  <c r="S38" i="118"/>
  <c r="S325" i="118" s="1"/>
  <c r="R38" i="118"/>
  <c r="D42" i="117"/>
  <c r="C34" i="117"/>
  <c r="C35" i="117" s="1"/>
  <c r="R104" i="118"/>
  <c r="I184" i="117" s="1"/>
  <c r="I196" i="117" s="1"/>
  <c r="S104" i="118"/>
  <c r="E168" i="117"/>
  <c r="E169" i="117" s="1"/>
  <c r="E226" i="117"/>
  <c r="K54" i="118"/>
  <c r="E29" i="117"/>
  <c r="E44" i="117" s="1"/>
  <c r="AB27" i="117"/>
  <c r="Q119" i="118"/>
  <c r="Q290" i="118"/>
  <c r="Q292" i="118" s="1"/>
  <c r="M292" i="118"/>
  <c r="M304" i="118" s="1"/>
  <c r="O93" i="118"/>
  <c r="O345" i="118" s="1"/>
  <c r="Q91" i="118"/>
  <c r="M258" i="118"/>
  <c r="M278" i="118" s="1"/>
  <c r="Q256" i="118"/>
  <c r="Q258" i="118" s="1"/>
  <c r="H18" i="117"/>
  <c r="J195" i="118"/>
  <c r="K160" i="117"/>
  <c r="P158" i="117"/>
  <c r="Q158" i="117"/>
  <c r="Q67" i="118"/>
  <c r="O160" i="118"/>
  <c r="M160" i="118"/>
  <c r="M164" i="118" s="1"/>
  <c r="K164" i="118"/>
  <c r="Q79" i="118"/>
  <c r="D190" i="117"/>
  <c r="D210" i="117"/>
  <c r="D211" i="117"/>
  <c r="K333" i="118"/>
  <c r="O34" i="118"/>
  <c r="Q32" i="118"/>
  <c r="Q34" i="118" s="1"/>
  <c r="Q114" i="118"/>
  <c r="I206" i="117"/>
  <c r="D348" i="118"/>
  <c r="D370" i="118"/>
  <c r="Q152" i="118"/>
  <c r="S231" i="118"/>
  <c r="R231" i="118"/>
  <c r="Q80" i="118"/>
  <c r="G370" i="118"/>
  <c r="G376" i="118" s="1"/>
  <c r="G379" i="118" s="1"/>
  <c r="G348" i="118"/>
  <c r="G354" i="118" s="1"/>
  <c r="G356" i="118" s="1"/>
  <c r="M135" i="118"/>
  <c r="AD37" i="117"/>
  <c r="AE37" i="117" s="1"/>
  <c r="O31" i="117"/>
  <c r="E334" i="118"/>
  <c r="E336" i="118"/>
  <c r="O20" i="118"/>
  <c r="M20" i="118"/>
  <c r="M25" i="118" s="1"/>
  <c r="D25" i="117"/>
  <c r="X26" i="117"/>
  <c r="J332" i="118"/>
  <c r="Q331" i="118" l="1"/>
  <c r="M136" i="118"/>
  <c r="I213" i="117"/>
  <c r="I216" i="117" s="1"/>
  <c r="I209" i="117"/>
  <c r="D218" i="117"/>
  <c r="D217" i="117"/>
  <c r="Q93" i="118"/>
  <c r="Q345" i="118" s="1"/>
  <c r="S91" i="118"/>
  <c r="S93" i="118" s="1"/>
  <c r="R91" i="118"/>
  <c r="K342" i="118"/>
  <c r="E34" i="117" s="1"/>
  <c r="K364" i="118"/>
  <c r="O364" i="118" s="1"/>
  <c r="K55" i="118"/>
  <c r="N32" i="117"/>
  <c r="N46" i="117"/>
  <c r="N47" i="117" s="1"/>
  <c r="S65" i="118"/>
  <c r="R65" i="118"/>
  <c r="F184" i="117" s="1"/>
  <c r="F196" i="117" s="1"/>
  <c r="J190" i="117"/>
  <c r="F161" i="117"/>
  <c r="AB149" i="117"/>
  <c r="R29" i="117"/>
  <c r="I15" i="117"/>
  <c r="G183" i="118"/>
  <c r="K225" i="117" s="1"/>
  <c r="D183" i="118"/>
  <c r="K224" i="117" s="1"/>
  <c r="W28" i="117"/>
  <c r="F24" i="117"/>
  <c r="K82" i="118"/>
  <c r="L42" i="117"/>
  <c r="L47" i="117" s="1"/>
  <c r="L32" i="117"/>
  <c r="D185" i="117"/>
  <c r="D197" i="117" s="1"/>
  <c r="M220" i="118"/>
  <c r="Q328" i="118"/>
  <c r="R126" i="118"/>
  <c r="S126" i="118"/>
  <c r="S23" i="118"/>
  <c r="R23" i="118"/>
  <c r="P159" i="117"/>
  <c r="Q159" i="117"/>
  <c r="Q20" i="118"/>
  <c r="O25" i="118"/>
  <c r="O341" i="118" s="1"/>
  <c r="S81" i="118"/>
  <c r="S326" i="118" s="1"/>
  <c r="R81" i="118"/>
  <c r="R114" i="118"/>
  <c r="I178" i="117" s="1"/>
  <c r="S114" i="118"/>
  <c r="AA39" i="117"/>
  <c r="AA38" i="117"/>
  <c r="AA150" i="117" s="1"/>
  <c r="S31" i="117"/>
  <c r="F215" i="117"/>
  <c r="K214" i="117"/>
  <c r="K24" i="117"/>
  <c r="W33" i="117"/>
  <c r="K195" i="118"/>
  <c r="K308" i="118" s="1"/>
  <c r="O32" i="117"/>
  <c r="O46" i="117"/>
  <c r="O47" i="117" s="1"/>
  <c r="R152" i="118"/>
  <c r="K185" i="117" s="1"/>
  <c r="K197" i="117" s="1"/>
  <c r="S152" i="118"/>
  <c r="E233" i="117"/>
  <c r="E234" i="117" s="1"/>
  <c r="E227" i="117"/>
  <c r="E27" i="117"/>
  <c r="Z27" i="117"/>
  <c r="AE27" i="117" s="1"/>
  <c r="P31" i="117"/>
  <c r="Q340" i="118"/>
  <c r="Q220" i="118"/>
  <c r="Q349" i="118" s="1"/>
  <c r="S212" i="118"/>
  <c r="R212" i="118"/>
  <c r="L181" i="117" s="1"/>
  <c r="S34" i="118"/>
  <c r="R34" i="118"/>
  <c r="E179" i="117" s="1"/>
  <c r="J370" i="118"/>
  <c r="J348" i="118"/>
  <c r="R325" i="118"/>
  <c r="E180" i="117"/>
  <c r="K341" i="118"/>
  <c r="K363" i="118"/>
  <c r="K26" i="118"/>
  <c r="Q43" i="118"/>
  <c r="Q45" i="118" s="1"/>
  <c r="M45" i="118"/>
  <c r="M54" i="118" s="1"/>
  <c r="M32" i="117"/>
  <c r="M46" i="117"/>
  <c r="M47" i="117" s="1"/>
  <c r="Q31" i="117"/>
  <c r="S145" i="118"/>
  <c r="AD38" i="117"/>
  <c r="AD150" i="117" s="1"/>
  <c r="F185" i="117"/>
  <c r="F197" i="117" s="1"/>
  <c r="R27" i="117"/>
  <c r="C185" i="117"/>
  <c r="K25" i="117"/>
  <c r="K40" i="117" s="1"/>
  <c r="X33" i="117"/>
  <c r="X38" i="117" s="1"/>
  <c r="X150" i="117" s="1"/>
  <c r="Q28" i="117"/>
  <c r="P28" i="117"/>
  <c r="I43" i="117"/>
  <c r="P43" i="117" s="1"/>
  <c r="S330" i="118"/>
  <c r="Q326" i="118"/>
  <c r="D224" i="117"/>
  <c r="Q166" i="117"/>
  <c r="S292" i="118"/>
  <c r="S304" i="118" s="1"/>
  <c r="R292" i="118"/>
  <c r="P46" i="117"/>
  <c r="R145" i="118"/>
  <c r="J185" i="117"/>
  <c r="J197" i="117" s="1"/>
  <c r="O215" i="118"/>
  <c r="L226" i="117"/>
  <c r="L233" i="117" s="1"/>
  <c r="M158" i="118"/>
  <c r="M195" i="118" s="1"/>
  <c r="Q154" i="118"/>
  <c r="Q158" i="118" s="1"/>
  <c r="R330" i="118"/>
  <c r="E184" i="117"/>
  <c r="S284" i="118"/>
  <c r="R284" i="118"/>
  <c r="O185" i="117" s="1"/>
  <c r="O326" i="118"/>
  <c r="P166" i="117"/>
  <c r="M35" i="117"/>
  <c r="R227" i="118"/>
  <c r="M185" i="117" s="1"/>
  <c r="S227" i="118"/>
  <c r="S251" i="118" s="1"/>
  <c r="Q251" i="118"/>
  <c r="Q350" i="118" s="1"/>
  <c r="E218" i="117"/>
  <c r="E217" i="117"/>
  <c r="R206" i="118"/>
  <c r="R220" i="118" s="1"/>
  <c r="S206" i="118"/>
  <c r="I13" i="117"/>
  <c r="S28" i="117"/>
  <c r="K346" i="118"/>
  <c r="I34" i="117" s="1"/>
  <c r="I35" i="117" s="1"/>
  <c r="K368" i="118"/>
  <c r="O368" i="118" s="1"/>
  <c r="K137" i="118"/>
  <c r="E40" i="117"/>
  <c r="E32" i="117"/>
  <c r="Q330" i="118"/>
  <c r="Q135" i="118"/>
  <c r="S112" i="118"/>
  <c r="R112" i="118"/>
  <c r="I179" i="117" s="1"/>
  <c r="I191" i="117" s="1"/>
  <c r="C47" i="117"/>
  <c r="N35" i="117"/>
  <c r="S258" i="118"/>
  <c r="S278" i="118" s="1"/>
  <c r="R258" i="118"/>
  <c r="N185" i="117" s="1"/>
  <c r="Q278" i="118"/>
  <c r="Q351" i="118" s="1"/>
  <c r="Q160" i="118"/>
  <c r="Q164" i="118" s="1"/>
  <c r="O164" i="118"/>
  <c r="O195" i="118" s="1"/>
  <c r="O348" i="118" s="1"/>
  <c r="S122" i="118"/>
  <c r="R122" i="118"/>
  <c r="I181" i="117" s="1"/>
  <c r="I193" i="117" s="1"/>
  <c r="I236" i="117" s="1"/>
  <c r="AB38" i="117"/>
  <c r="AB150" i="117" s="1"/>
  <c r="AB39" i="117"/>
  <c r="O340" i="118"/>
  <c r="Q195" i="118"/>
  <c r="Q348" i="118" s="1"/>
  <c r="R189" i="118"/>
  <c r="S189" i="118"/>
  <c r="K349" i="118"/>
  <c r="L34" i="117" s="1"/>
  <c r="L35" i="117" s="1"/>
  <c r="K371" i="118"/>
  <c r="O371" i="118" s="1"/>
  <c r="K221" i="118"/>
  <c r="J210" i="117"/>
  <c r="J211" i="117"/>
  <c r="O136" i="118"/>
  <c r="O346" i="118" s="1"/>
  <c r="E185" i="117"/>
  <c r="E197" i="117" s="1"/>
  <c r="S26" i="117"/>
  <c r="Q324" i="118"/>
  <c r="S10" i="118"/>
  <c r="R10" i="118"/>
  <c r="R12" i="118" s="1"/>
  <c r="K382" i="118"/>
  <c r="O373" i="118"/>
  <c r="O35" i="117"/>
  <c r="D356" i="118"/>
  <c r="S102" i="118"/>
  <c r="R102" i="118"/>
  <c r="AE26" i="117"/>
  <c r="S67" i="118"/>
  <c r="R67" i="118"/>
  <c r="F179" i="117" s="1"/>
  <c r="F191" i="117" s="1"/>
  <c r="D376" i="118"/>
  <c r="R53" i="118"/>
  <c r="E183" i="117" s="1"/>
  <c r="E195" i="117" s="1"/>
  <c r="Q54" i="118"/>
  <c r="Q342" i="118" s="1"/>
  <c r="S53" i="118"/>
  <c r="I235" i="117"/>
  <c r="Q304" i="118"/>
  <c r="Q352" i="118" s="1"/>
  <c r="D44" i="117"/>
  <c r="P44" i="117" s="1"/>
  <c r="Q29" i="117"/>
  <c r="P29" i="117"/>
  <c r="K170" i="117"/>
  <c r="G186" i="117"/>
  <c r="G190" i="117"/>
  <c r="G211" i="117"/>
  <c r="G210" i="117"/>
  <c r="K332" i="118"/>
  <c r="R24" i="117"/>
  <c r="W149" i="117"/>
  <c r="I10" i="117"/>
  <c r="I18" i="117" s="1"/>
  <c r="S193" i="118"/>
  <c r="R193" i="118"/>
  <c r="K183" i="117" s="1"/>
  <c r="K195" i="117" s="1"/>
  <c r="C178" i="117"/>
  <c r="P168" i="117"/>
  <c r="J217" i="117"/>
  <c r="J218" i="117"/>
  <c r="L231" i="117"/>
  <c r="L234" i="117" s="1"/>
  <c r="L227" i="117"/>
  <c r="K208" i="117"/>
  <c r="K215" i="117" s="1"/>
  <c r="AC38" i="117"/>
  <c r="AC150" i="117" s="1"/>
  <c r="AC39" i="117"/>
  <c r="O324" i="118"/>
  <c r="D40" i="117"/>
  <c r="D47" i="117" s="1"/>
  <c r="D32" i="117"/>
  <c r="O329" i="118"/>
  <c r="O54" i="118"/>
  <c r="O342" i="118" s="1"/>
  <c r="I228" i="117"/>
  <c r="R304" i="118"/>
  <c r="P160" i="117"/>
  <c r="Q329" i="118"/>
  <c r="S24" i="118"/>
  <c r="R24" i="118"/>
  <c r="R366" i="118"/>
  <c r="R388" i="118" s="1"/>
  <c r="R344" i="118"/>
  <c r="Q69" i="118"/>
  <c r="Q74" i="118" s="1"/>
  <c r="O74" i="118"/>
  <c r="F45" i="117"/>
  <c r="P45" i="117" s="1"/>
  <c r="Q30" i="117"/>
  <c r="P30" i="117"/>
  <c r="S30" i="117" s="1"/>
  <c r="J365" i="118"/>
  <c r="J376" i="118" s="1"/>
  <c r="J379" i="118" s="1"/>
  <c r="J343" i="118"/>
  <c r="J354" i="118" s="1"/>
  <c r="J356" i="118" s="1"/>
  <c r="I229" i="117" l="1"/>
  <c r="S220" i="118"/>
  <c r="M308" i="118"/>
  <c r="S373" i="118"/>
  <c r="S351" i="118"/>
  <c r="S372" i="118"/>
  <c r="S350" i="118"/>
  <c r="S374" i="118"/>
  <c r="S352" i="118"/>
  <c r="R340" i="118"/>
  <c r="R362" i="118"/>
  <c r="S329" i="118"/>
  <c r="N197" i="117"/>
  <c r="N198" i="117" s="1"/>
  <c r="N186" i="117"/>
  <c r="S135" i="118"/>
  <c r="Q136" i="118"/>
  <c r="Q346" i="118" s="1"/>
  <c r="R135" i="118"/>
  <c r="I183" i="117" s="1"/>
  <c r="I195" i="117" s="1"/>
  <c r="E196" i="117"/>
  <c r="Q184" i="117"/>
  <c r="P184" i="117"/>
  <c r="D34" i="117"/>
  <c r="D35" i="117" s="1"/>
  <c r="L193" i="117"/>
  <c r="L198" i="117" s="1"/>
  <c r="L186" i="117"/>
  <c r="E42" i="117"/>
  <c r="P42" i="117" s="1"/>
  <c r="Q27" i="117"/>
  <c r="P27" i="117"/>
  <c r="AE33" i="117"/>
  <c r="S328" i="118"/>
  <c r="J183" i="118"/>
  <c r="R93" i="118"/>
  <c r="H179" i="117"/>
  <c r="R278" i="118"/>
  <c r="D379" i="118"/>
  <c r="K377" i="118"/>
  <c r="D183" i="117"/>
  <c r="G198" i="117"/>
  <c r="G217" i="117"/>
  <c r="G218" i="117"/>
  <c r="R136" i="118"/>
  <c r="I185" i="117"/>
  <c r="I197" i="117" s="1"/>
  <c r="L228" i="117"/>
  <c r="L229" i="117"/>
  <c r="G187" i="117"/>
  <c r="S136" i="118"/>
  <c r="S371" i="118"/>
  <c r="S349" i="118"/>
  <c r="M197" i="117"/>
  <c r="M198" i="117" s="1"/>
  <c r="M186" i="117"/>
  <c r="R347" i="118"/>
  <c r="R369" i="118"/>
  <c r="P185" i="117"/>
  <c r="C197" i="117"/>
  <c r="Q185" i="117"/>
  <c r="Q180" i="117"/>
  <c r="E192" i="117"/>
  <c r="P180" i="117"/>
  <c r="K39" i="117"/>
  <c r="K47" i="117" s="1"/>
  <c r="K32" i="117"/>
  <c r="R328" i="118"/>
  <c r="I182" i="117"/>
  <c r="S345" i="118"/>
  <c r="S367" i="118"/>
  <c r="X39" i="117"/>
  <c r="D77" i="118"/>
  <c r="F206" i="117" s="1"/>
  <c r="O323" i="118"/>
  <c r="O332" i="118" s="1"/>
  <c r="O336" i="118" s="1"/>
  <c r="O82" i="118"/>
  <c r="O343" i="118" s="1"/>
  <c r="O354" i="118" s="1"/>
  <c r="L236" i="117"/>
  <c r="L235" i="117"/>
  <c r="K209" i="117"/>
  <c r="R20" i="118"/>
  <c r="S20" i="118"/>
  <c r="S25" i="118" s="1"/>
  <c r="Q25" i="118"/>
  <c r="K365" i="118"/>
  <c r="O365" i="118" s="1"/>
  <c r="K343" i="118"/>
  <c r="F34" i="117" s="1"/>
  <c r="F35" i="117" s="1"/>
  <c r="K83" i="118"/>
  <c r="S29" i="117"/>
  <c r="I47" i="117"/>
  <c r="S24" i="117"/>
  <c r="R371" i="118"/>
  <c r="R349" i="118"/>
  <c r="R331" i="118"/>
  <c r="S74" i="118"/>
  <c r="R74" i="118"/>
  <c r="Q323" i="118"/>
  <c r="R374" i="118"/>
  <c r="R396" i="118" s="1"/>
  <c r="R352" i="118"/>
  <c r="K182" i="117"/>
  <c r="K194" i="117" s="1"/>
  <c r="P40" i="117"/>
  <c r="P169" i="117"/>
  <c r="P170" i="117" s="1"/>
  <c r="S158" i="118"/>
  <c r="R158" i="118"/>
  <c r="K179" i="117" s="1"/>
  <c r="K191" i="117" s="1"/>
  <c r="S27" i="117"/>
  <c r="E170" i="117"/>
  <c r="K216" i="117"/>
  <c r="K161" i="117"/>
  <c r="F39" i="117"/>
  <c r="F32" i="117"/>
  <c r="Q24" i="117"/>
  <c r="P24" i="117"/>
  <c r="P32" i="117" s="1"/>
  <c r="Q33" i="117" s="1"/>
  <c r="R251" i="118"/>
  <c r="R45" i="118"/>
  <c r="S45" i="118"/>
  <c r="S54" i="118" s="1"/>
  <c r="P208" i="117"/>
  <c r="W39" i="117"/>
  <c r="AE28" i="117"/>
  <c r="W38" i="117"/>
  <c r="S388" i="118"/>
  <c r="O388" i="118"/>
  <c r="K334" i="118"/>
  <c r="R32" i="117"/>
  <c r="S32" i="117" s="1"/>
  <c r="S164" i="118"/>
  <c r="S195" i="118" s="1"/>
  <c r="R164" i="118"/>
  <c r="K178" i="117" s="1"/>
  <c r="R82" i="118"/>
  <c r="Q208" i="117"/>
  <c r="I186" i="117"/>
  <c r="I190" i="117"/>
  <c r="I218" i="117" s="1"/>
  <c r="R327" i="118"/>
  <c r="D181" i="117"/>
  <c r="K231" i="117"/>
  <c r="J198" i="117"/>
  <c r="Q25" i="117"/>
  <c r="C190" i="117"/>
  <c r="C186" i="117"/>
  <c r="C187" i="117" s="1"/>
  <c r="C211" i="117"/>
  <c r="C210" i="117"/>
  <c r="C179" i="117"/>
  <c r="O308" i="118"/>
  <c r="O186" i="117"/>
  <c r="O197" i="117"/>
  <c r="O198" i="117" s="1"/>
  <c r="P25" i="117"/>
  <c r="S25" i="117" s="1"/>
  <c r="E191" i="117"/>
  <c r="Q215" i="117"/>
  <c r="P215" i="117"/>
  <c r="Q82" i="118"/>
  <c r="Q343" i="118" s="1"/>
  <c r="S12" i="118"/>
  <c r="K232" i="117"/>
  <c r="P225" i="117"/>
  <c r="Q225" i="117"/>
  <c r="J186" i="117"/>
  <c r="J187" i="117" s="1"/>
  <c r="I211" i="117"/>
  <c r="I210" i="117"/>
  <c r="P224" i="117"/>
  <c r="Q224" i="117"/>
  <c r="D231" i="117"/>
  <c r="D227" i="117"/>
  <c r="S347" i="118"/>
  <c r="S369" i="118"/>
  <c r="O363" i="118"/>
  <c r="K376" i="118"/>
  <c r="K379" i="118" s="1"/>
  <c r="Z39" i="117"/>
  <c r="Z38" i="117"/>
  <c r="Z150" i="117" s="1"/>
  <c r="K348" i="118"/>
  <c r="K34" i="117" s="1"/>
  <c r="K35" i="117" s="1"/>
  <c r="K370" i="118"/>
  <c r="O370" i="118" s="1"/>
  <c r="K196" i="118"/>
  <c r="R326" i="118"/>
  <c r="F181" i="117"/>
  <c r="Q327" i="118"/>
  <c r="S331" i="118"/>
  <c r="E35" i="117"/>
  <c r="R324" i="118" l="1"/>
  <c r="R195" i="118"/>
  <c r="R393" i="118"/>
  <c r="I217" i="117"/>
  <c r="S348" i="118"/>
  <c r="S370" i="118"/>
  <c r="C218" i="117"/>
  <c r="C217" i="117"/>
  <c r="R372" i="118"/>
  <c r="R394" i="118" s="1"/>
  <c r="R350" i="118"/>
  <c r="R348" i="118"/>
  <c r="R370" i="118"/>
  <c r="R392" i="118" s="1"/>
  <c r="O376" i="118"/>
  <c r="C191" i="117"/>
  <c r="C198" i="117" s="1"/>
  <c r="S363" i="118"/>
  <c r="S341" i="118"/>
  <c r="P161" i="117"/>
  <c r="I194" i="117"/>
  <c r="I198" i="117" s="1"/>
  <c r="P182" i="117"/>
  <c r="Q182" i="117"/>
  <c r="H186" i="117"/>
  <c r="H191" i="117"/>
  <c r="H198" i="117" s="1"/>
  <c r="L187" i="117"/>
  <c r="W150" i="117"/>
  <c r="AE38" i="117"/>
  <c r="R367" i="118"/>
  <c r="R389" i="118" s="1"/>
  <c r="R345" i="118"/>
  <c r="F193" i="117"/>
  <c r="F229" i="117"/>
  <c r="F228" i="117"/>
  <c r="S396" i="118"/>
  <c r="O396" i="118"/>
  <c r="D179" i="117"/>
  <c r="P179" i="117" s="1"/>
  <c r="R25" i="118"/>
  <c r="K186" i="117"/>
  <c r="K190" i="117"/>
  <c r="K198" i="117" s="1"/>
  <c r="Q332" i="118"/>
  <c r="Q336" i="118" s="1"/>
  <c r="K210" i="117"/>
  <c r="K211" i="117"/>
  <c r="Q197" i="117"/>
  <c r="P197" i="117"/>
  <c r="S346" i="118"/>
  <c r="S368" i="118"/>
  <c r="O183" i="118"/>
  <c r="K226" i="117"/>
  <c r="K354" i="118"/>
  <c r="R365" i="118"/>
  <c r="R343" i="118"/>
  <c r="F213" i="117"/>
  <c r="P206" i="117"/>
  <c r="Q206" i="117"/>
  <c r="D228" i="117"/>
  <c r="D229" i="117"/>
  <c r="F47" i="117"/>
  <c r="P39" i="117"/>
  <c r="P47" i="117" s="1"/>
  <c r="F178" i="117"/>
  <c r="R323" i="118"/>
  <c r="P183" i="117"/>
  <c r="Q183" i="117"/>
  <c r="D195" i="117"/>
  <c r="D234" i="117"/>
  <c r="Q231" i="117"/>
  <c r="P231" i="117"/>
  <c r="Q232" i="117"/>
  <c r="P232" i="117"/>
  <c r="D193" i="117"/>
  <c r="Q181" i="117"/>
  <c r="E47" i="117"/>
  <c r="S82" i="118"/>
  <c r="S323" i="118"/>
  <c r="G77" i="118"/>
  <c r="R391" i="118"/>
  <c r="R329" i="118"/>
  <c r="S324" i="118"/>
  <c r="S340" i="118"/>
  <c r="S362" i="118"/>
  <c r="R384" i="118" s="1"/>
  <c r="S308" i="118"/>
  <c r="I19" i="117"/>
  <c r="S364" i="118"/>
  <c r="S342" i="118"/>
  <c r="K218" i="117"/>
  <c r="K217" i="117"/>
  <c r="K381" i="118"/>
  <c r="K383" i="118" s="1"/>
  <c r="S327" i="118"/>
  <c r="O187" i="117"/>
  <c r="E181" i="117"/>
  <c r="R54" i="118"/>
  <c r="M187" i="117"/>
  <c r="P196" i="117"/>
  <c r="Q196" i="117"/>
  <c r="S393" i="118"/>
  <c r="O393" i="118"/>
  <c r="Q341" i="118"/>
  <c r="Q354" i="118" s="1"/>
  <c r="Q308" i="118"/>
  <c r="Q192" i="117"/>
  <c r="P192" i="117"/>
  <c r="R346" i="118"/>
  <c r="R368" i="118"/>
  <c r="R390" i="118" s="1"/>
  <c r="R373" i="118"/>
  <c r="R395" i="118" s="1"/>
  <c r="R351" i="118"/>
  <c r="S332" i="118" l="1"/>
  <c r="O384" i="118"/>
  <c r="S384" i="118"/>
  <c r="E193" i="117"/>
  <c r="E228" i="117"/>
  <c r="E229" i="117"/>
  <c r="E186" i="117"/>
  <c r="S391" i="118"/>
  <c r="O391" i="118"/>
  <c r="R332" i="118"/>
  <c r="K233" i="117"/>
  <c r="P226" i="117"/>
  <c r="P227" i="117" s="1"/>
  <c r="Q226" i="117"/>
  <c r="K227" i="117"/>
  <c r="Q179" i="117"/>
  <c r="I187" i="117"/>
  <c r="O77" i="118"/>
  <c r="F207" i="117"/>
  <c r="F186" i="117"/>
  <c r="F187" i="117" s="1"/>
  <c r="F190" i="117"/>
  <c r="P178" i="117"/>
  <c r="Q178" i="117"/>
  <c r="F235" i="117"/>
  <c r="F236" i="117"/>
  <c r="H187" i="117"/>
  <c r="P213" i="117"/>
  <c r="Q213" i="117"/>
  <c r="K187" i="117"/>
  <c r="S365" i="118"/>
  <c r="S376" i="118" s="1"/>
  <c r="S343" i="118"/>
  <c r="S354" i="118" s="1"/>
  <c r="R363" i="118"/>
  <c r="R341" i="118"/>
  <c r="R308" i="118"/>
  <c r="S389" i="118"/>
  <c r="O389" i="118"/>
  <c r="S390" i="118"/>
  <c r="O390" i="118"/>
  <c r="D191" i="117"/>
  <c r="D198" i="117" s="1"/>
  <c r="D186" i="117"/>
  <c r="AE40" i="117"/>
  <c r="AE39" i="117"/>
  <c r="Q194" i="117"/>
  <c r="P194" i="117"/>
  <c r="O392" i="118"/>
  <c r="S392" i="118"/>
  <c r="O395" i="118"/>
  <c r="S395" i="118"/>
  <c r="D236" i="117"/>
  <c r="D235" i="117"/>
  <c r="P181" i="117"/>
  <c r="Q195" i="117"/>
  <c r="P195" i="117"/>
  <c r="N187" i="117"/>
  <c r="R364" i="118"/>
  <c r="R386" i="118" s="1"/>
  <c r="R342" i="118"/>
  <c r="Q193" i="117"/>
  <c r="K356" i="118"/>
  <c r="P34" i="117"/>
  <c r="P35" i="117" s="1"/>
  <c r="S394" i="118"/>
  <c r="O394" i="118"/>
  <c r="R387" i="118" l="1"/>
  <c r="P191" i="117"/>
  <c r="S333" i="118"/>
  <c r="K229" i="117"/>
  <c r="K228" i="117"/>
  <c r="E187" i="117"/>
  <c r="S386" i="118"/>
  <c r="O386" i="118"/>
  <c r="S310" i="118"/>
  <c r="Q309" i="118"/>
  <c r="P186" i="117"/>
  <c r="R354" i="118"/>
  <c r="S355" i="118" s="1"/>
  <c r="F198" i="117"/>
  <c r="P190" i="117"/>
  <c r="P198" i="117" s="1"/>
  <c r="Q190" i="117"/>
  <c r="P228" i="117"/>
  <c r="P229" i="117"/>
  <c r="Q191" i="117"/>
  <c r="F214" i="117"/>
  <c r="P207" i="117"/>
  <c r="P209" i="117" s="1"/>
  <c r="Q207" i="117"/>
  <c r="F209" i="117"/>
  <c r="R385" i="118"/>
  <c r="R376" i="118"/>
  <c r="S377" i="118" s="1"/>
  <c r="E236" i="117"/>
  <c r="E235" i="117"/>
  <c r="E198" i="117"/>
  <c r="O387" i="118"/>
  <c r="S387" i="118"/>
  <c r="D187" i="117"/>
  <c r="Q233" i="117"/>
  <c r="P233" i="117"/>
  <c r="P234" i="117" s="1"/>
  <c r="K234" i="117"/>
  <c r="P193" i="117"/>
  <c r="P236" i="117" l="1"/>
  <c r="P235" i="117"/>
  <c r="S378" i="118"/>
  <c r="S313" i="118"/>
  <c r="S356" i="118"/>
  <c r="S334" i="118"/>
  <c r="S385" i="118"/>
  <c r="S398" i="118" s="1"/>
  <c r="O385" i="118"/>
  <c r="O398" i="118" s="1"/>
  <c r="R398" i="118"/>
  <c r="R399" i="118" s="1"/>
  <c r="F210" i="117"/>
  <c r="F211" i="117"/>
  <c r="K235" i="117"/>
  <c r="K236" i="117"/>
  <c r="P199" i="117"/>
  <c r="P211" i="117"/>
  <c r="P210" i="117"/>
  <c r="Q214" i="117"/>
  <c r="P214" i="117"/>
  <c r="P216" i="117" s="1"/>
  <c r="F216" i="117"/>
  <c r="P187" i="117"/>
  <c r="F217" i="117" l="1"/>
  <c r="F218" i="117"/>
  <c r="P218" i="117"/>
  <c r="P217" i="117"/>
  <c r="H116" i="116" l="1"/>
  <c r="H115" i="116"/>
  <c r="H114" i="116"/>
  <c r="H113" i="116"/>
  <c r="H112" i="116"/>
  <c r="H111" i="116" l="1"/>
  <c r="H110" i="116"/>
  <c r="H109" i="116"/>
  <c r="H107" i="116"/>
  <c r="H108" i="116"/>
  <c r="I119" i="116"/>
  <c r="I118" i="116"/>
  <c r="I117" i="116"/>
  <c r="I116" i="116"/>
  <c r="I115" i="116"/>
  <c r="I114" i="116"/>
  <c r="I113" i="116"/>
  <c r="I112" i="116" l="1"/>
  <c r="C311" i="116"/>
  <c r="C307" i="116"/>
  <c r="G306" i="116"/>
  <c r="I306" i="116" s="1"/>
  <c r="G305" i="116"/>
  <c r="I305" i="116" s="1"/>
  <c r="G303" i="116"/>
  <c r="I302" i="116"/>
  <c r="H302" i="116"/>
  <c r="G302" i="116"/>
  <c r="C302" i="116"/>
  <c r="C298" i="116"/>
  <c r="G295" i="116"/>
  <c r="G294" i="116"/>
  <c r="H294" i="116" s="1"/>
  <c r="G292" i="116"/>
  <c r="I291" i="116"/>
  <c r="H291" i="116"/>
  <c r="G291" i="116"/>
  <c r="C291" i="116"/>
  <c r="G237" i="116"/>
  <c r="G236" i="116"/>
  <c r="G235" i="116"/>
  <c r="G233" i="116"/>
  <c r="G231" i="116"/>
  <c r="G230" i="116"/>
  <c r="G229" i="116"/>
  <c r="I204" i="116"/>
  <c r="H204" i="116"/>
  <c r="G204" i="116"/>
  <c r="C204" i="116"/>
  <c r="F189" i="116"/>
  <c r="E189" i="116"/>
  <c r="D189" i="116"/>
  <c r="I182" i="116"/>
  <c r="H182" i="116"/>
  <c r="G182" i="116"/>
  <c r="C182" i="116"/>
  <c r="G173" i="116"/>
  <c r="G196" i="116" s="1"/>
  <c r="F173" i="116"/>
  <c r="F196" i="116" s="1"/>
  <c r="E173" i="116"/>
  <c r="E196" i="116" s="1"/>
  <c r="D173" i="116"/>
  <c r="D196" i="116" s="1"/>
  <c r="C173" i="116"/>
  <c r="C196" i="116" s="1"/>
  <c r="B173" i="116"/>
  <c r="G170" i="116"/>
  <c r="F170" i="116"/>
  <c r="E170" i="116"/>
  <c r="D170" i="116"/>
  <c r="C170" i="116"/>
  <c r="C169" i="116"/>
  <c r="I156" i="116"/>
  <c r="H156" i="116"/>
  <c r="G156" i="116"/>
  <c r="C156" i="116"/>
  <c r="G150" i="116"/>
  <c r="C150" i="116"/>
  <c r="G149" i="116"/>
  <c r="C149" i="116"/>
  <c r="G148" i="116"/>
  <c r="G239" i="116" s="1"/>
  <c r="C148" i="116"/>
  <c r="L146" i="116"/>
  <c r="I146" i="116"/>
  <c r="H146" i="116"/>
  <c r="I144" i="116"/>
  <c r="H144" i="116"/>
  <c r="I141" i="116"/>
  <c r="H141" i="116"/>
  <c r="G139" i="116"/>
  <c r="G190" i="116" s="1"/>
  <c r="G212" i="116" s="1"/>
  <c r="F139" i="116"/>
  <c r="F190" i="116" s="1"/>
  <c r="E139" i="116"/>
  <c r="D139" i="116"/>
  <c r="D190" i="116" s="1"/>
  <c r="C139" i="116"/>
  <c r="C143" i="116" s="1"/>
  <c r="I137" i="116"/>
  <c r="I136" i="116"/>
  <c r="H136" i="116"/>
  <c r="I135" i="116"/>
  <c r="H135" i="116"/>
  <c r="I134" i="116"/>
  <c r="H134" i="116"/>
  <c r="I133" i="116"/>
  <c r="H133" i="116"/>
  <c r="I132" i="116"/>
  <c r="H132" i="116"/>
  <c r="I131" i="116"/>
  <c r="H131" i="116"/>
  <c r="I130" i="116"/>
  <c r="H130" i="116"/>
  <c r="I129" i="116"/>
  <c r="H129" i="116"/>
  <c r="I128" i="116"/>
  <c r="H128" i="116"/>
  <c r="I127" i="116"/>
  <c r="H127" i="116"/>
  <c r="I126" i="116"/>
  <c r="H126" i="116"/>
  <c r="I125" i="116"/>
  <c r="H125" i="116"/>
  <c r="I124" i="116"/>
  <c r="H124" i="116"/>
  <c r="G124" i="116"/>
  <c r="C124" i="116"/>
  <c r="C121" i="116"/>
  <c r="C189" i="116" s="1"/>
  <c r="C211" i="116" s="1"/>
  <c r="I110" i="116"/>
  <c r="I109" i="116"/>
  <c r="I108" i="116"/>
  <c r="I107" i="116"/>
  <c r="I106" i="116"/>
  <c r="H106" i="116"/>
  <c r="G106" i="116"/>
  <c r="C106" i="116"/>
  <c r="G97" i="116"/>
  <c r="G169" i="116" s="1"/>
  <c r="F97" i="116"/>
  <c r="E97" i="116"/>
  <c r="D97" i="116"/>
  <c r="C97" i="116"/>
  <c r="G96" i="116"/>
  <c r="G168" i="116" s="1"/>
  <c r="F96" i="116"/>
  <c r="E96" i="116"/>
  <c r="D96" i="116"/>
  <c r="C96" i="116"/>
  <c r="C168" i="116" s="1"/>
  <c r="G95" i="116"/>
  <c r="G167" i="116" s="1"/>
  <c r="F95" i="116"/>
  <c r="F167" i="116" s="1"/>
  <c r="E95" i="116"/>
  <c r="E167" i="116" s="1"/>
  <c r="D95" i="116"/>
  <c r="D167" i="116" s="1"/>
  <c r="C95" i="116"/>
  <c r="C167" i="116" s="1"/>
  <c r="G94" i="116"/>
  <c r="F94" i="116"/>
  <c r="F166" i="116" s="1"/>
  <c r="E94" i="116"/>
  <c r="E166" i="116" s="1"/>
  <c r="D94" i="116"/>
  <c r="D166" i="116" s="1"/>
  <c r="C94" i="116"/>
  <c r="C166" i="116" s="1"/>
  <c r="G93" i="116"/>
  <c r="F93" i="116"/>
  <c r="F165" i="116" s="1"/>
  <c r="E93" i="116"/>
  <c r="E165" i="116" s="1"/>
  <c r="D93" i="116"/>
  <c r="D165" i="116" s="1"/>
  <c r="C93" i="116"/>
  <c r="C165" i="116" s="1"/>
  <c r="G92" i="116"/>
  <c r="I92" i="116" s="1"/>
  <c r="F92" i="116"/>
  <c r="F164" i="116" s="1"/>
  <c r="E92" i="116"/>
  <c r="E164" i="116" s="1"/>
  <c r="D92" i="116"/>
  <c r="D164" i="116" s="1"/>
  <c r="C92" i="116"/>
  <c r="C164" i="116" s="1"/>
  <c r="G91" i="116"/>
  <c r="F91" i="116"/>
  <c r="F163" i="116" s="1"/>
  <c r="E91" i="116"/>
  <c r="E163" i="116" s="1"/>
  <c r="D91" i="116"/>
  <c r="D163" i="116" s="1"/>
  <c r="C91" i="116"/>
  <c r="G90" i="116"/>
  <c r="F90" i="116"/>
  <c r="F162" i="116" s="1"/>
  <c r="E90" i="116"/>
  <c r="E162" i="116" s="1"/>
  <c r="D90" i="116"/>
  <c r="D162" i="116" s="1"/>
  <c r="C90" i="116"/>
  <c r="C162" i="116" s="1"/>
  <c r="G89" i="116"/>
  <c r="I89" i="116" s="1"/>
  <c r="F89" i="116"/>
  <c r="F161" i="116" s="1"/>
  <c r="E89" i="116"/>
  <c r="E161" i="116" s="1"/>
  <c r="D89" i="116"/>
  <c r="D161" i="116" s="1"/>
  <c r="C89" i="116"/>
  <c r="C161" i="116" s="1"/>
  <c r="G88" i="116"/>
  <c r="G160" i="116" s="1"/>
  <c r="F88" i="116"/>
  <c r="F160" i="116" s="1"/>
  <c r="E88" i="116"/>
  <c r="E160" i="116" s="1"/>
  <c r="D88" i="116"/>
  <c r="D160" i="116" s="1"/>
  <c r="C88" i="116"/>
  <c r="C160" i="116" s="1"/>
  <c r="G87" i="116"/>
  <c r="I87" i="116" s="1"/>
  <c r="F87" i="116"/>
  <c r="F159" i="116" s="1"/>
  <c r="E87" i="116"/>
  <c r="E159" i="116" s="1"/>
  <c r="D87" i="116"/>
  <c r="D159" i="116" s="1"/>
  <c r="C87" i="116"/>
  <c r="C159" i="116" s="1"/>
  <c r="G86" i="116"/>
  <c r="F86" i="116"/>
  <c r="F158" i="116" s="1"/>
  <c r="E86" i="116"/>
  <c r="E158" i="116" s="1"/>
  <c r="D86" i="116"/>
  <c r="D158" i="116" s="1"/>
  <c r="C86" i="116"/>
  <c r="C158" i="116" s="1"/>
  <c r="G85" i="116"/>
  <c r="F85" i="116"/>
  <c r="F157" i="116" s="1"/>
  <c r="E85" i="116"/>
  <c r="E157" i="116" s="1"/>
  <c r="D85" i="116"/>
  <c r="D157" i="116" s="1"/>
  <c r="C85" i="116"/>
  <c r="C157" i="116" s="1"/>
  <c r="I84" i="116"/>
  <c r="H84" i="116"/>
  <c r="G84" i="116"/>
  <c r="F84" i="116"/>
  <c r="D84" i="116"/>
  <c r="C84" i="116"/>
  <c r="C77" i="116"/>
  <c r="I77" i="116" s="1"/>
  <c r="H76" i="116"/>
  <c r="C76" i="116"/>
  <c r="L75" i="116"/>
  <c r="I75" i="116"/>
  <c r="H75" i="116"/>
  <c r="X74" i="116"/>
  <c r="I74" i="116"/>
  <c r="H74" i="116"/>
  <c r="G71" i="116"/>
  <c r="G186" i="116" s="1"/>
  <c r="F71" i="116"/>
  <c r="E71" i="116"/>
  <c r="E73" i="116" s="1"/>
  <c r="D71" i="116"/>
  <c r="D186" i="116" s="1"/>
  <c r="C71" i="116"/>
  <c r="C186" i="116" s="1"/>
  <c r="C208" i="116" s="1"/>
  <c r="P68" i="116"/>
  <c r="R68" i="116" s="1"/>
  <c r="N68" i="116"/>
  <c r="I68" i="116"/>
  <c r="H68" i="116"/>
  <c r="I67" i="116"/>
  <c r="H67" i="116"/>
  <c r="I66" i="116"/>
  <c r="H66" i="116"/>
  <c r="I65" i="116"/>
  <c r="H65" i="116"/>
  <c r="I64" i="116"/>
  <c r="H64" i="116"/>
  <c r="I63" i="116"/>
  <c r="H63" i="116"/>
  <c r="I62" i="116"/>
  <c r="H62" i="116"/>
  <c r="I61" i="116"/>
  <c r="H61" i="116"/>
  <c r="I60" i="116"/>
  <c r="H60" i="116"/>
  <c r="I59" i="116"/>
  <c r="H59" i="116"/>
  <c r="I58" i="116"/>
  <c r="H58" i="116"/>
  <c r="I57" i="116"/>
  <c r="H57" i="116"/>
  <c r="I56" i="116"/>
  <c r="H56" i="116"/>
  <c r="G56" i="116"/>
  <c r="C56" i="116"/>
  <c r="G52" i="116"/>
  <c r="C52" i="116"/>
  <c r="G51" i="116"/>
  <c r="C51" i="116"/>
  <c r="L50" i="116"/>
  <c r="L49" i="116"/>
  <c r="I49" i="116"/>
  <c r="H49" i="116"/>
  <c r="I48" i="116"/>
  <c r="H48" i="116"/>
  <c r="G45" i="116"/>
  <c r="G185" i="116" s="1"/>
  <c r="F45" i="116"/>
  <c r="F185" i="116" s="1"/>
  <c r="E45" i="116"/>
  <c r="D45" i="116"/>
  <c r="D185" i="116" s="1"/>
  <c r="C45" i="116"/>
  <c r="I43" i="116"/>
  <c r="P42" i="116"/>
  <c r="R42" i="116" s="1"/>
  <c r="R45" i="116" s="1"/>
  <c r="N42" i="116"/>
  <c r="I42" i="116"/>
  <c r="H42" i="116"/>
  <c r="I41" i="116"/>
  <c r="H41" i="116"/>
  <c r="I40" i="116"/>
  <c r="H40" i="116"/>
  <c r="I39" i="116"/>
  <c r="H39" i="116"/>
  <c r="I38" i="116"/>
  <c r="H38" i="116"/>
  <c r="I37" i="116"/>
  <c r="H37" i="116"/>
  <c r="I36" i="116"/>
  <c r="H36" i="116"/>
  <c r="I35" i="116"/>
  <c r="H35" i="116"/>
  <c r="I34" i="116"/>
  <c r="H34" i="116"/>
  <c r="I33" i="116"/>
  <c r="H33" i="116"/>
  <c r="I32" i="116"/>
  <c r="H32" i="116"/>
  <c r="I31" i="116"/>
  <c r="H31" i="116"/>
  <c r="I30" i="116"/>
  <c r="H30" i="116"/>
  <c r="G30" i="116"/>
  <c r="C30" i="116"/>
  <c r="G27" i="116"/>
  <c r="C27" i="116"/>
  <c r="G26" i="116"/>
  <c r="C26" i="116"/>
  <c r="K25" i="116"/>
  <c r="L25" i="116" s="1"/>
  <c r="I25" i="116"/>
  <c r="H25" i="116"/>
  <c r="L24" i="116"/>
  <c r="I24" i="116"/>
  <c r="H24" i="116"/>
  <c r="U21" i="116"/>
  <c r="T21" i="116"/>
  <c r="Q21" i="116"/>
  <c r="M21" i="116"/>
  <c r="G21" i="116"/>
  <c r="G184" i="116" s="1"/>
  <c r="F21" i="116"/>
  <c r="F23" i="116" s="1"/>
  <c r="E21" i="116"/>
  <c r="E23" i="116" s="1"/>
  <c r="D21" i="116"/>
  <c r="D184" i="116" s="1"/>
  <c r="C21" i="116"/>
  <c r="C184" i="116" s="1"/>
  <c r="I19" i="116"/>
  <c r="P18" i="116"/>
  <c r="R18" i="116" s="1"/>
  <c r="N18" i="116"/>
  <c r="I18" i="116"/>
  <c r="H18" i="116"/>
  <c r="I17" i="116"/>
  <c r="H17" i="116"/>
  <c r="P16" i="116"/>
  <c r="R16" i="116" s="1"/>
  <c r="N16" i="116"/>
  <c r="I16" i="116"/>
  <c r="H16" i="116"/>
  <c r="P15" i="116"/>
  <c r="P21" i="116" s="1"/>
  <c r="N15" i="116"/>
  <c r="I15" i="116"/>
  <c r="H15" i="116"/>
  <c r="R14" i="116"/>
  <c r="N14" i="116"/>
  <c r="I14" i="116"/>
  <c r="H14" i="116"/>
  <c r="R13" i="116"/>
  <c r="N13" i="116"/>
  <c r="I13" i="116"/>
  <c r="H13" i="116"/>
  <c r="R12" i="116"/>
  <c r="N12" i="116"/>
  <c r="I12" i="116"/>
  <c r="H12" i="116"/>
  <c r="R11" i="116"/>
  <c r="N11" i="116"/>
  <c r="I11" i="116"/>
  <c r="H11" i="116"/>
  <c r="R10" i="116"/>
  <c r="N10" i="116"/>
  <c r="I10" i="116"/>
  <c r="H10" i="116"/>
  <c r="R9" i="116"/>
  <c r="N9" i="116"/>
  <c r="I9" i="116"/>
  <c r="H9" i="116"/>
  <c r="R8" i="116"/>
  <c r="T32" i="116" s="1"/>
  <c r="N8" i="116"/>
  <c r="I8" i="116"/>
  <c r="H8" i="116"/>
  <c r="R7" i="116"/>
  <c r="N7" i="116"/>
  <c r="N21" i="116" s="1"/>
  <c r="I7" i="116"/>
  <c r="H7" i="116"/>
  <c r="H150" i="116" l="1"/>
  <c r="I150" i="116"/>
  <c r="H77" i="116"/>
  <c r="H51" i="116"/>
  <c r="C28" i="116"/>
  <c r="I26" i="116"/>
  <c r="C151" i="116"/>
  <c r="G143" i="116"/>
  <c r="I143" i="116" s="1"/>
  <c r="I91" i="116"/>
  <c r="G53" i="116"/>
  <c r="I51" i="116"/>
  <c r="E47" i="116"/>
  <c r="E184" i="116"/>
  <c r="H21" i="116"/>
  <c r="H26" i="116"/>
  <c r="I52" i="116"/>
  <c r="C81" i="116"/>
  <c r="C22" i="116" s="1"/>
  <c r="G101" i="116"/>
  <c r="E185" i="116"/>
  <c r="R15" i="116"/>
  <c r="I21" i="116"/>
  <c r="I149" i="116"/>
  <c r="I294" i="116"/>
  <c r="I27" i="116"/>
  <c r="C53" i="116"/>
  <c r="F73" i="116"/>
  <c r="H93" i="116"/>
  <c r="G81" i="116"/>
  <c r="G46" i="116" s="1"/>
  <c r="C313" i="116"/>
  <c r="I97" i="116"/>
  <c r="I173" i="116"/>
  <c r="H89" i="116"/>
  <c r="H95" i="116"/>
  <c r="H88" i="116"/>
  <c r="I88" i="116"/>
  <c r="H90" i="116"/>
  <c r="H97" i="116"/>
  <c r="D171" i="116"/>
  <c r="D175" i="116" s="1"/>
  <c r="G178" i="116"/>
  <c r="I167" i="116"/>
  <c r="H167" i="116"/>
  <c r="E171" i="116"/>
  <c r="E175" i="116" s="1"/>
  <c r="I160" i="116"/>
  <c r="H160" i="116"/>
  <c r="F171" i="116"/>
  <c r="I169" i="116"/>
  <c r="F186" i="116"/>
  <c r="H305" i="116"/>
  <c r="C185" i="116"/>
  <c r="C207" i="116" s="1"/>
  <c r="I45" i="116"/>
  <c r="H45" i="116"/>
  <c r="F47" i="116"/>
  <c r="H87" i="116"/>
  <c r="I94" i="116"/>
  <c r="H94" i="116"/>
  <c r="I139" i="116"/>
  <c r="H139" i="116"/>
  <c r="C190" i="116"/>
  <c r="C212" i="116" s="1"/>
  <c r="H212" i="116" s="1"/>
  <c r="D143" i="116"/>
  <c r="C163" i="116"/>
  <c r="C187" i="116"/>
  <c r="C206" i="116"/>
  <c r="I186" i="116"/>
  <c r="G297" i="116"/>
  <c r="G310" i="116"/>
  <c r="G304" i="116"/>
  <c r="G309" i="116"/>
  <c r="G296" i="116"/>
  <c r="G293" i="116"/>
  <c r="H91" i="116"/>
  <c r="C178" i="116"/>
  <c r="E122" i="116"/>
  <c r="G151" i="116"/>
  <c r="C215" i="116"/>
  <c r="D187" i="116"/>
  <c r="D191" i="116" s="1"/>
  <c r="D200" i="116" s="1"/>
  <c r="I292" i="116"/>
  <c r="E186" i="116"/>
  <c r="E187" i="116" s="1"/>
  <c r="C101" i="116"/>
  <c r="G159" i="116"/>
  <c r="I184" i="116"/>
  <c r="H184" i="116"/>
  <c r="G206" i="116"/>
  <c r="G28" i="116"/>
  <c r="C78" i="116"/>
  <c r="I76" i="116"/>
  <c r="D99" i="116"/>
  <c r="I86" i="116"/>
  <c r="H86" i="116"/>
  <c r="F122" i="116"/>
  <c r="E190" i="116"/>
  <c r="E143" i="116"/>
  <c r="G166" i="116"/>
  <c r="D198" i="116"/>
  <c r="G187" i="116"/>
  <c r="H292" i="116"/>
  <c r="R21" i="116"/>
  <c r="G162" i="116"/>
  <c r="E99" i="116"/>
  <c r="I168" i="116"/>
  <c r="H168" i="116"/>
  <c r="H149" i="116"/>
  <c r="G207" i="116"/>
  <c r="H52" i="116"/>
  <c r="F99" i="116"/>
  <c r="I90" i="116"/>
  <c r="H96" i="116"/>
  <c r="H196" i="116"/>
  <c r="G99" i="116"/>
  <c r="G102" i="116"/>
  <c r="G103" i="116" s="1"/>
  <c r="I95" i="116"/>
  <c r="I96" i="116"/>
  <c r="C99" i="116"/>
  <c r="G158" i="116"/>
  <c r="G215" i="116"/>
  <c r="I196" i="116"/>
  <c r="H295" i="116"/>
  <c r="I295" i="116"/>
  <c r="G157" i="116"/>
  <c r="G165" i="116"/>
  <c r="F184" i="116"/>
  <c r="F187" i="116" s="1"/>
  <c r="F191" i="116" s="1"/>
  <c r="F200" i="116" s="1"/>
  <c r="H186" i="116"/>
  <c r="G208" i="116"/>
  <c r="H303" i="116"/>
  <c r="H71" i="116"/>
  <c r="H85" i="116"/>
  <c r="F143" i="116"/>
  <c r="G164" i="116"/>
  <c r="I303" i="116"/>
  <c r="H306" i="116"/>
  <c r="I71" i="116"/>
  <c r="I85" i="116"/>
  <c r="H92" i="116"/>
  <c r="I93" i="116"/>
  <c r="C102" i="116"/>
  <c r="G163" i="116"/>
  <c r="C72" i="116"/>
  <c r="H173" i="116"/>
  <c r="I53" i="116" l="1"/>
  <c r="I190" i="116"/>
  <c r="C191" i="116"/>
  <c r="C198" i="116" s="1"/>
  <c r="H143" i="116"/>
  <c r="G72" i="116"/>
  <c r="C171" i="116"/>
  <c r="C175" i="116" s="1"/>
  <c r="C177" i="116"/>
  <c r="C179" i="116" s="1"/>
  <c r="H185" i="116"/>
  <c r="C103" i="116"/>
  <c r="H81" i="116"/>
  <c r="E191" i="116"/>
  <c r="E198" i="116" s="1"/>
  <c r="H53" i="116"/>
  <c r="I81" i="116"/>
  <c r="G22" i="116"/>
  <c r="I22" i="116" s="1"/>
  <c r="I185" i="116"/>
  <c r="C46" i="116"/>
  <c r="I46" i="116" s="1"/>
  <c r="I103" i="116"/>
  <c r="H103" i="116"/>
  <c r="H162" i="116"/>
  <c r="I162" i="116"/>
  <c r="I166" i="116"/>
  <c r="H166" i="116"/>
  <c r="I296" i="116"/>
  <c r="H296" i="116"/>
  <c r="I163" i="116"/>
  <c r="H163" i="116"/>
  <c r="F175" i="116"/>
  <c r="I28" i="116"/>
  <c r="H28" i="116"/>
  <c r="I309" i="116"/>
  <c r="H309" i="116"/>
  <c r="G311" i="116"/>
  <c r="I293" i="116"/>
  <c r="H293" i="116"/>
  <c r="I208" i="116"/>
  <c r="H208" i="116"/>
  <c r="G209" i="116"/>
  <c r="I206" i="116"/>
  <c r="H206" i="116"/>
  <c r="G298" i="116"/>
  <c r="H101" i="116"/>
  <c r="H99" i="116"/>
  <c r="I99" i="116"/>
  <c r="I310" i="116"/>
  <c r="H310" i="116"/>
  <c r="I212" i="116"/>
  <c r="I101" i="116"/>
  <c r="I111" i="116"/>
  <c r="G121" i="116"/>
  <c r="I164" i="116"/>
  <c r="H164" i="116"/>
  <c r="I165" i="116"/>
  <c r="H165" i="116"/>
  <c r="I215" i="116"/>
  <c r="H215" i="116"/>
  <c r="H297" i="116"/>
  <c r="I297" i="116"/>
  <c r="G161" i="116"/>
  <c r="G171" i="116" s="1"/>
  <c r="I78" i="116"/>
  <c r="H78" i="116"/>
  <c r="C209" i="116"/>
  <c r="C213" i="116" s="1"/>
  <c r="C217" i="116" s="1"/>
  <c r="I304" i="116"/>
  <c r="I307" i="116" s="1"/>
  <c r="H304" i="116"/>
  <c r="I157" i="116"/>
  <c r="H157" i="116"/>
  <c r="F198" i="116"/>
  <c r="H187" i="116"/>
  <c r="I187" i="116"/>
  <c r="G82" i="116"/>
  <c r="I72" i="116"/>
  <c r="I151" i="116"/>
  <c r="H151" i="116"/>
  <c r="I178" i="116"/>
  <c r="H178" i="116"/>
  <c r="I102" i="116"/>
  <c r="G307" i="116"/>
  <c r="H307" i="116" s="1"/>
  <c r="I158" i="116"/>
  <c r="H158" i="116"/>
  <c r="I207" i="116"/>
  <c r="H207" i="116"/>
  <c r="I159" i="116"/>
  <c r="H159" i="116"/>
  <c r="H190" i="116"/>
  <c r="E200" i="116" l="1"/>
  <c r="I311" i="116"/>
  <c r="I313" i="116" s="1"/>
  <c r="C200" i="116"/>
  <c r="E172" i="116"/>
  <c r="F172" i="116"/>
  <c r="C82" i="116"/>
  <c r="I82" i="116" s="1"/>
  <c r="I171" i="116"/>
  <c r="H171" i="116"/>
  <c r="G175" i="116"/>
  <c r="H209" i="116"/>
  <c r="I161" i="116"/>
  <c r="H161" i="116"/>
  <c r="I298" i="116"/>
  <c r="H298" i="116"/>
  <c r="G313" i="116"/>
  <c r="H313" i="116" s="1"/>
  <c r="H311" i="116"/>
  <c r="L121" i="116"/>
  <c r="I121" i="116"/>
  <c r="H121" i="116"/>
  <c r="G189" i="116"/>
  <c r="G177" i="116"/>
  <c r="I209" i="116"/>
  <c r="H177" i="116" l="1"/>
  <c r="I177" i="116"/>
  <c r="G179" i="116"/>
  <c r="I175" i="116"/>
  <c r="H175" i="116"/>
  <c r="I189" i="116"/>
  <c r="G211" i="116"/>
  <c r="H189" i="116"/>
  <c r="G191" i="116"/>
  <c r="H191" i="116" l="1"/>
  <c r="G200" i="116"/>
  <c r="G192" i="116"/>
  <c r="G193" i="116" s="1"/>
  <c r="I191" i="116"/>
  <c r="I198" i="116" s="1"/>
  <c r="G198" i="116"/>
  <c r="H198" i="116" s="1"/>
  <c r="H179" i="116"/>
  <c r="I179" i="116"/>
  <c r="I211" i="116"/>
  <c r="I213" i="116" s="1"/>
  <c r="I217" i="116" s="1"/>
  <c r="H211" i="116"/>
  <c r="G213" i="116"/>
  <c r="H213" i="116" l="1"/>
  <c r="G217" i="116"/>
  <c r="H217" i="1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..</author>
  </authors>
  <commentList>
    <comment ref="F168" authorId="0" shapeId="0" xr:uid="{B0FF55A3-F77E-49D4-BC73-57FAFAB3449E}">
      <text>
        <r>
          <rPr>
            <b/>
            <sz val="8"/>
            <color indexed="81"/>
            <rFont val="Tahoma"/>
            <family val="2"/>
          </rPr>
          <t>..:</t>
        </r>
        <r>
          <rPr>
            <sz val="8"/>
            <color indexed="81"/>
            <rFont val="Tahoma"/>
            <family val="2"/>
          </rPr>
          <t xml:space="preserve">
Plus .01 to bal.</t>
        </r>
      </text>
    </comment>
    <comment ref="I206" authorId="0" shapeId="0" xr:uid="{21AD21FA-1C9F-448A-BA22-17D3040536E8}">
      <text>
        <r>
          <rPr>
            <b/>
            <sz val="8"/>
            <color indexed="81"/>
            <rFont val="Tahoma"/>
            <family val="2"/>
          </rPr>
          <t>..:</t>
        </r>
        <r>
          <rPr>
            <sz val="8"/>
            <color indexed="81"/>
            <rFont val="Tahoma"/>
            <family val="2"/>
          </rPr>
          <t xml:space="preserve">
Adj to Balance</t>
        </r>
      </text>
    </comment>
    <comment ref="K206" authorId="0" shapeId="0" xr:uid="{1E6BFE30-416A-42A1-9563-7F9174ADDAB1}">
      <text>
        <r>
          <rPr>
            <b/>
            <sz val="8"/>
            <color indexed="81"/>
            <rFont val="Tahoma"/>
            <family val="2"/>
          </rPr>
          <t>..:</t>
        </r>
        <r>
          <rPr>
            <sz val="8"/>
            <color indexed="81"/>
            <rFont val="Tahoma"/>
            <family val="2"/>
          </rPr>
          <t xml:space="preserve">
Adj to Balance</t>
        </r>
      </text>
    </comment>
    <comment ref="D207" authorId="0" shapeId="0" xr:uid="{282FC6C2-D8AB-44C0-AB14-1B35FEA2D7D1}">
      <text>
        <r>
          <rPr>
            <b/>
            <sz val="9"/>
            <color indexed="81"/>
            <rFont val="Tahoma"/>
            <family val="2"/>
          </rPr>
          <t>..:</t>
        </r>
        <r>
          <rPr>
            <sz val="9"/>
            <color indexed="81"/>
            <rFont val="Tahoma"/>
            <family val="2"/>
          </rPr>
          <t xml:space="preserve">
adj. to balance</t>
        </r>
      </text>
    </comment>
    <comment ref="F207" authorId="0" shapeId="0" xr:uid="{0FC1EB0A-5A4A-4D3B-B109-27CEFABD6D65}">
      <text>
        <r>
          <rPr>
            <b/>
            <sz val="8"/>
            <color indexed="81"/>
            <rFont val="Tahoma"/>
            <family val="2"/>
          </rPr>
          <t>..:</t>
        </r>
        <r>
          <rPr>
            <sz val="8"/>
            <color indexed="81"/>
            <rFont val="Tahoma"/>
            <family val="2"/>
          </rPr>
          <t xml:space="preserve">
Adj to Balance</t>
        </r>
      </text>
    </comment>
    <comment ref="G207" authorId="0" shapeId="0" xr:uid="{A892388F-6204-4D58-AFD9-6967B1509873}">
      <text>
        <r>
          <rPr>
            <b/>
            <sz val="8"/>
            <color indexed="81"/>
            <rFont val="Tahoma"/>
            <family val="2"/>
          </rPr>
          <t>..:</t>
        </r>
        <r>
          <rPr>
            <sz val="8"/>
            <color indexed="81"/>
            <rFont val="Tahoma"/>
            <family val="2"/>
          </rPr>
          <t xml:space="preserve">
Adj to Balance</t>
        </r>
      </text>
    </comment>
    <comment ref="J207" authorId="0" shapeId="0" xr:uid="{6FD80840-1E3A-413A-8188-71A9AD9ADF54}">
      <text>
        <r>
          <rPr>
            <b/>
            <sz val="8"/>
            <color indexed="81"/>
            <rFont val="Tahoma"/>
            <family val="2"/>
          </rPr>
          <t>..:</t>
        </r>
        <r>
          <rPr>
            <sz val="8"/>
            <color indexed="81"/>
            <rFont val="Tahoma"/>
            <family val="2"/>
          </rPr>
          <t xml:space="preserve">
Adj to Balance</t>
        </r>
      </text>
    </comment>
    <comment ref="I224" authorId="0" shapeId="0" xr:uid="{62E97CBB-19FB-4F8C-85B0-75A14158D668}">
      <text>
        <r>
          <rPr>
            <b/>
            <sz val="8"/>
            <color indexed="81"/>
            <rFont val="Tahoma"/>
            <family val="2"/>
          </rPr>
          <t>..:</t>
        </r>
        <r>
          <rPr>
            <sz val="8"/>
            <color indexed="81"/>
            <rFont val="Tahoma"/>
            <family val="2"/>
          </rPr>
          <t xml:space="preserve">
Adj to Balance</t>
        </r>
      </text>
    </comment>
    <comment ref="K224" authorId="0" shapeId="0" xr:uid="{A620EA87-ED79-4DD4-B581-904D4ADDBBDE}">
      <text>
        <r>
          <rPr>
            <b/>
            <sz val="8"/>
            <color indexed="81"/>
            <rFont val="Tahoma"/>
            <family val="2"/>
          </rPr>
          <t>..:</t>
        </r>
        <r>
          <rPr>
            <sz val="8"/>
            <color indexed="81"/>
            <rFont val="Tahoma"/>
            <family val="2"/>
          </rPr>
          <t xml:space="preserve">
Adj to Balance</t>
        </r>
      </text>
    </comment>
    <comment ref="L224" authorId="0" shapeId="0" xr:uid="{AA9C5091-B7B1-4EBC-ACA0-ED631864A874}">
      <text>
        <r>
          <rPr>
            <b/>
            <sz val="8"/>
            <color indexed="81"/>
            <rFont val="Tahoma"/>
            <family val="2"/>
          </rPr>
          <t>..:</t>
        </r>
        <r>
          <rPr>
            <sz val="8"/>
            <color indexed="81"/>
            <rFont val="Tahoma"/>
            <family val="2"/>
          </rPr>
          <t xml:space="preserve">
Adj to Balance</t>
        </r>
      </text>
    </comment>
    <comment ref="D226" authorId="0" shapeId="0" xr:uid="{9E4F8FAE-B5EA-4244-A74D-9E13FDE49AFD}">
      <text>
        <r>
          <rPr>
            <b/>
            <sz val="8"/>
            <color indexed="81"/>
            <rFont val="Tahoma"/>
            <family val="2"/>
          </rPr>
          <t>..:</t>
        </r>
        <r>
          <rPr>
            <sz val="8"/>
            <color indexed="81"/>
            <rFont val="Tahoma"/>
            <family val="2"/>
          </rPr>
          <t xml:space="preserve">
Adj to Balance</t>
        </r>
      </text>
    </comment>
    <comment ref="E226" authorId="0" shapeId="0" xr:uid="{2A66931B-C20D-4121-A5E6-9147944A7598}">
      <text>
        <r>
          <rPr>
            <b/>
            <sz val="8"/>
            <color indexed="81"/>
            <rFont val="Tahoma"/>
            <family val="2"/>
          </rPr>
          <t>..:</t>
        </r>
        <r>
          <rPr>
            <sz val="8"/>
            <color indexed="81"/>
            <rFont val="Tahoma"/>
            <family val="2"/>
          </rPr>
          <t xml:space="preserve">
Adj to Balance</t>
        </r>
      </text>
    </comment>
    <comment ref="F226" authorId="0" shapeId="0" xr:uid="{C126BA42-1924-4714-BAE3-0A8E9CB200B4}">
      <text>
        <r>
          <rPr>
            <b/>
            <sz val="8"/>
            <color indexed="81"/>
            <rFont val="Tahoma"/>
            <family val="2"/>
          </rPr>
          <t>..:</t>
        </r>
        <r>
          <rPr>
            <sz val="8"/>
            <color indexed="81"/>
            <rFont val="Tahoma"/>
            <family val="2"/>
          </rPr>
          <t xml:space="preserve">
Adj to Balance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..</author>
    <author>MaskDY</author>
    <author>.</author>
  </authors>
  <commentList>
    <comment ref="I6" authorId="0" shapeId="0" xr:uid="{35269A9B-1128-4014-8B5C-75A6C9D037FD}">
      <text>
        <r>
          <rPr>
            <b/>
            <sz val="9"/>
            <color indexed="81"/>
            <rFont val="Tahoma"/>
            <family val="2"/>
          </rPr>
          <t>..:</t>
        </r>
        <r>
          <rPr>
            <sz val="9"/>
            <color indexed="81"/>
            <rFont val="Tahoma"/>
            <family val="2"/>
          </rPr>
          <t xml:space="preserve">
TEC 61.059 (l)(2)(B) allows formula funding for Doctoral student’s semester credit hours at HRIs to a maximum of 130 SCH;
</t>
        </r>
      </text>
    </comment>
    <comment ref="A45" authorId="0" shapeId="0" xr:uid="{0AA27AB1-1303-41F2-BB0C-3A0AC0A1175A}">
      <text>
        <r>
          <rPr>
            <b/>
            <sz val="8"/>
            <color indexed="81"/>
            <rFont val="Tahoma"/>
            <family val="2"/>
          </rPr>
          <t>..:</t>
        </r>
        <r>
          <rPr>
            <sz val="8"/>
            <color indexed="81"/>
            <rFont val="Tahoma"/>
            <family val="2"/>
          </rPr>
          <t xml:space="preserve">
Nursing-Grad - San Antonio (878) row was removed 5-2010 due to non use.  Institution asked that it be removed from catalog.</t>
        </r>
      </text>
    </comment>
    <comment ref="O48" authorId="1" shapeId="0" xr:uid="{CF053D69-822B-4608-AC82-288570EC70FE}">
      <text>
        <r>
          <rPr>
            <b/>
            <sz val="10"/>
            <color indexed="81"/>
            <rFont val="Tahoma"/>
            <family val="2"/>
          </rPr>
          <t>NOTE:
Small Class Supplement added by 81st Legislature.</t>
        </r>
      </text>
    </comment>
    <comment ref="O70" authorId="0" shapeId="0" xr:uid="{10B309AD-EA2C-4BBE-9F56-847FB45D3316}">
      <text>
        <r>
          <rPr>
            <b/>
            <sz val="9"/>
            <color indexed="81"/>
            <rFont val="Tahoma"/>
            <family val="2"/>
          </rPr>
          <t>..:</t>
        </r>
        <r>
          <rPr>
            <sz val="9"/>
            <color indexed="81"/>
            <rFont val="Tahoma"/>
            <family val="2"/>
          </rPr>
          <t xml:space="preserve">
Per Collin leave in. 2/22/21</t>
        </r>
      </text>
    </comment>
    <comment ref="O80" authorId="1" shapeId="0" xr:uid="{8EF342CF-0842-4F3F-884A-A21C131ABE60}">
      <text>
        <r>
          <rPr>
            <b/>
            <sz val="10"/>
            <color indexed="81"/>
            <rFont val="Tahoma"/>
            <family val="2"/>
          </rPr>
          <t>NOTE:</t>
        </r>
        <r>
          <rPr>
            <sz val="10"/>
            <color indexed="81"/>
            <rFont val="Tahoma"/>
            <family val="2"/>
          </rPr>
          <t xml:space="preserve">
FTSEs included with undergraduate total above for calculation</t>
        </r>
      </text>
    </comment>
    <comment ref="O91" authorId="0" shapeId="0" xr:uid="{B7E8AE37-3590-443C-9E88-DF9839BA78A1}">
      <text>
        <r>
          <rPr>
            <b/>
            <sz val="9"/>
            <color indexed="81"/>
            <rFont val="Tahoma"/>
            <family val="2"/>
          </rPr>
          <t>..:</t>
        </r>
        <r>
          <rPr>
            <sz val="9"/>
            <color indexed="81"/>
            <rFont val="Tahoma"/>
            <family val="2"/>
          </rPr>
          <t xml:space="preserve">
Added by Spec Prov rider 27-1 in 2015 session for FY 16-17.</t>
        </r>
      </text>
    </comment>
    <comment ref="O92" authorId="0" shapeId="0" xr:uid="{88CE2812-5B25-4F29-B0FE-1060BC395B8D}">
      <text>
        <r>
          <rPr>
            <b/>
            <sz val="9"/>
            <color indexed="81"/>
            <rFont val="Tahoma"/>
            <family val="2"/>
          </rPr>
          <t>..:</t>
        </r>
        <r>
          <rPr>
            <sz val="9"/>
            <color indexed="81"/>
            <rFont val="Tahoma"/>
            <family val="2"/>
          </rPr>
          <t xml:space="preserve">
Added by Spec Prov rider 27-1 in 2015 session for FY 16-17.</t>
        </r>
      </text>
    </comment>
    <comment ref="A104" authorId="2" shapeId="0" xr:uid="{80A4D5EB-4038-43FD-A982-CD45CA89AE12}">
      <text>
        <r>
          <rPr>
            <b/>
            <sz val="8"/>
            <color indexed="81"/>
            <rFont val="Tahoma"/>
            <family val="2"/>
          </rPr>
          <t>.:</t>
        </r>
        <r>
          <rPr>
            <sz val="8"/>
            <color indexed="81"/>
            <rFont val="Tahoma"/>
            <family val="2"/>
          </rPr>
          <t xml:space="preserve">
Dental Hygiene was included with Dental Education in the Dental Education line of the approp. Act.</t>
        </r>
      </text>
    </comment>
    <comment ref="A114" authorId="2" shapeId="0" xr:uid="{DB2370E9-9690-43A9-B4D4-3665D57BF2CE}">
      <text>
        <r>
          <rPr>
            <b/>
            <sz val="8"/>
            <color indexed="81"/>
            <rFont val="Tahoma"/>
            <family val="2"/>
          </rPr>
          <t>.:</t>
        </r>
        <r>
          <rPr>
            <sz val="8"/>
            <color indexed="81"/>
            <rFont val="Tahoma"/>
            <family val="2"/>
          </rPr>
          <t xml:space="preserve">
Priced at Allied Health rate, since there is no Dental Hygiene category.</t>
        </r>
      </text>
    </comment>
    <comment ref="O177" authorId="1" shapeId="0" xr:uid="{009FA035-BD0A-494A-BBA1-54BC785D7F36}">
      <text>
        <r>
          <rPr>
            <b/>
            <sz val="10"/>
            <color indexed="81"/>
            <rFont val="Tahoma"/>
            <family val="2"/>
          </rPr>
          <t>NOTE:</t>
        </r>
        <r>
          <rPr>
            <sz val="10"/>
            <color indexed="81"/>
            <rFont val="Tahoma"/>
            <family val="2"/>
          </rPr>
          <t xml:space="preserve">
FTSEs included with undergraduate total above for calculation</t>
        </r>
      </text>
    </comment>
    <comment ref="O178" authorId="1" shapeId="0" xr:uid="{B4284928-C789-4840-8848-88B030CCD917}">
      <text>
        <r>
          <rPr>
            <b/>
            <sz val="10"/>
            <color indexed="81"/>
            <rFont val="Tahoma"/>
            <family val="2"/>
          </rPr>
          <t>NOTE:</t>
        </r>
        <r>
          <rPr>
            <sz val="10"/>
            <color indexed="81"/>
            <rFont val="Tahoma"/>
            <family val="2"/>
          </rPr>
          <t xml:space="preserve">
FTSEs included with undergraduate total above for calculation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</author>
  </authors>
  <commentList>
    <comment ref="A28" authorId="0" shapeId="0" xr:uid="{08CDB1EE-B8A9-49B7-A8BB-D513403FF93D}">
      <text>
        <r>
          <rPr>
            <b/>
            <sz val="9"/>
            <color indexed="81"/>
            <rFont val="Tahoma"/>
            <family val="2"/>
          </rPr>
          <t>.:</t>
        </r>
        <r>
          <rPr>
            <sz val="9"/>
            <color indexed="81"/>
            <rFont val="Tahoma"/>
            <family val="2"/>
          </rPr>
          <t xml:space="preserve">
Old title - Allied Health (Health Informatics)</t>
        </r>
      </text>
    </comment>
    <comment ref="A42" authorId="0" shapeId="0" xr:uid="{6D90FA39-1318-481F-9897-93AC4371E8A8}">
      <text>
        <r>
          <rPr>
            <b/>
            <sz val="9"/>
            <color indexed="81"/>
            <rFont val="Tahoma"/>
            <family val="2"/>
          </rPr>
          <t>.:</t>
        </r>
        <r>
          <rPr>
            <sz val="9"/>
            <color indexed="81"/>
            <rFont val="Tahoma"/>
            <family val="2"/>
          </rPr>
          <t xml:space="preserve">
Old title - Allied Health (Health Informatics)</t>
        </r>
      </text>
    </comment>
    <comment ref="B50" authorId="0" shapeId="0" xr:uid="{05F12E64-ED9B-4D38-9083-2C7D5ED3EE19}">
      <text>
        <r>
          <rPr>
            <b/>
            <sz val="8"/>
            <color indexed="81"/>
            <rFont val="Tahoma"/>
            <family val="2"/>
          </rPr>
          <t>.:</t>
        </r>
        <r>
          <rPr>
            <sz val="8"/>
            <color indexed="81"/>
            <rFont val="Tahoma"/>
            <family val="2"/>
          </rPr>
          <t xml:space="preserve">
Source:  FY 00-01 Balanced - Instruction 2 tab.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..</author>
  </authors>
  <commentList>
    <comment ref="B8" authorId="0" shapeId="0" xr:uid="{318C19CE-F64F-400C-BCC1-F7732B3B5D43}">
      <text>
        <r>
          <rPr>
            <b/>
            <sz val="9"/>
            <color indexed="81"/>
            <rFont val="Tahoma"/>
            <family val="2"/>
          </rPr>
          <t>..:</t>
        </r>
        <r>
          <rPr>
            <sz val="9"/>
            <color indexed="81"/>
            <rFont val="Tahoma"/>
            <family val="2"/>
          </rPr>
          <t xml:space="preserve">
Use Whole Sq. Ft.
</t>
        </r>
      </text>
    </comment>
  </commentList>
</comments>
</file>

<file path=xl/sharedStrings.xml><?xml version="1.0" encoding="utf-8"?>
<sst xmlns="http://schemas.openxmlformats.org/spreadsheetml/2006/main" count="3192" uniqueCount="746">
  <si>
    <t>Total</t>
  </si>
  <si>
    <t>Texas Tech Univ HSC</t>
  </si>
  <si>
    <t>UT M.D. Anderson Cancer</t>
  </si>
  <si>
    <t>UTMB at Galveston</t>
  </si>
  <si>
    <t>UTHSC at Houston</t>
  </si>
  <si>
    <t>UT Health Center at Tyler</t>
  </si>
  <si>
    <t>UTHSC at San Antonio</t>
  </si>
  <si>
    <t>Texas A&amp;M UHSC</t>
  </si>
  <si>
    <t>UT Southwestern Med. Center</t>
  </si>
  <si>
    <t>Health-Related Institutions</t>
  </si>
  <si>
    <t>Instruction  &amp; Operations</t>
  </si>
  <si>
    <t>Infrastructure</t>
  </si>
  <si>
    <t>Research Enhancement</t>
  </si>
  <si>
    <t>Total All Institutions - Formula</t>
  </si>
  <si>
    <t>Graduate Medical Education</t>
  </si>
  <si>
    <t>Summary by Institution - Regular Formula</t>
  </si>
  <si>
    <t>Total All Institutions - Mission Spec.</t>
  </si>
  <si>
    <t>Total All Institutions - GME</t>
  </si>
  <si>
    <t xml:space="preserve">   No. of FTSE </t>
  </si>
  <si>
    <t>Pricing / Other Information:</t>
  </si>
  <si>
    <t>% Share of Total I&amp;O, Inf., Res.</t>
  </si>
  <si>
    <t>Mission Specific</t>
  </si>
  <si>
    <t>Grand Total - All Formulas</t>
  </si>
  <si>
    <t>Baylor Coll. of Medicine - GME</t>
  </si>
  <si>
    <t>Univ North TX HSC</t>
  </si>
  <si>
    <t>Number of Residents</t>
  </si>
  <si>
    <t>Total All Institutions - All Formulas (Exc. Baylor)</t>
  </si>
  <si>
    <t>Other Information:</t>
  </si>
  <si>
    <t xml:space="preserve">  Research Expenditures</t>
  </si>
  <si>
    <t xml:space="preserve">  Predicted Sq. Ft.</t>
  </si>
  <si>
    <t xml:space="preserve">   I &amp; O Rate Used</t>
  </si>
  <si>
    <t>Increase Due Rate Increase</t>
  </si>
  <si>
    <t xml:space="preserve">  Rate</t>
  </si>
  <si>
    <t>UT M.D. Anderson Cancer - CCO</t>
  </si>
  <si>
    <t>Total I&amp;O, Infrastructure, Res.</t>
  </si>
  <si>
    <t>Summary by Formula</t>
  </si>
  <si>
    <t xml:space="preserve">  Totals</t>
  </si>
  <si>
    <t xml:space="preserve">  Totals Regular Formulas</t>
  </si>
  <si>
    <t>Total w/ Baylor Coll. Medicine</t>
  </si>
  <si>
    <t>Date of Resident Count</t>
  </si>
  <si>
    <t xml:space="preserve">  Total Regular Formulas</t>
  </si>
  <si>
    <t>Published Rate for GME in Bills</t>
  </si>
  <si>
    <t>$ Change</t>
  </si>
  <si>
    <t>Total GME w/BCOM</t>
  </si>
  <si>
    <t>Increase (Decrease) Due to Change In FTSE</t>
  </si>
  <si>
    <t>One Year</t>
  </si>
  <si>
    <t>Totals w/ Baylor</t>
  </si>
  <si>
    <t>Totals w/ BCM</t>
  </si>
  <si>
    <t>Instruction and Operations</t>
  </si>
  <si>
    <t>Metrics</t>
  </si>
  <si>
    <t>State-Funded FTSE</t>
  </si>
  <si>
    <t>Research Expenditures (Millions)</t>
  </si>
  <si>
    <t>Rates</t>
  </si>
  <si>
    <t>Texas Tech Univ HSC at El Paso</t>
  </si>
  <si>
    <t>FAC Prior Request</t>
  </si>
  <si>
    <t>FY 2014-15</t>
  </si>
  <si>
    <t>W/O SCS</t>
  </si>
  <si>
    <t>Old Rate</t>
  </si>
  <si>
    <t>FY 2012-13</t>
  </si>
  <si>
    <t>Difference Due to FTSE Change</t>
  </si>
  <si>
    <t>Original change analysis.</t>
  </si>
  <si>
    <t>Updated to Res. Split Lubbock &amp; El Paso</t>
  </si>
  <si>
    <t xml:space="preserve">Funding Per Resident </t>
  </si>
  <si>
    <t>Increase Due to Metrics</t>
  </si>
  <si>
    <t>UT RGV Medical School</t>
  </si>
  <si>
    <t>UT Austin Medical School</t>
  </si>
  <si>
    <t>Total New Medical Schools</t>
  </si>
  <si>
    <t>Total All Institutions</t>
  </si>
  <si>
    <t>Total Health Related Institutions</t>
  </si>
  <si>
    <t xml:space="preserve">Institution Summary of All Formulas </t>
  </si>
  <si>
    <t>Biennium Total</t>
  </si>
  <si>
    <t>Fall 2018</t>
  </si>
  <si>
    <t>FY 2018</t>
  </si>
  <si>
    <t xml:space="preserve"> 9-1-18</t>
  </si>
  <si>
    <t>Total FY 20-21  Appropriations</t>
  </si>
  <si>
    <t>Fall 2020</t>
  </si>
  <si>
    <t>Rate</t>
  </si>
  <si>
    <t>FY 2020</t>
  </si>
  <si>
    <t xml:space="preserve"> 9-1-20</t>
  </si>
  <si>
    <t>Appropriations Act FY 22-23</t>
  </si>
  <si>
    <t>Growth Estimated at I&amp;O Increase</t>
  </si>
  <si>
    <t>Growth Capped at 5%</t>
  </si>
  <si>
    <t>% Change/w FY 20-21</t>
  </si>
  <si>
    <t>Total - New Mission Specific Formulas</t>
  </si>
  <si>
    <t>Total-Existing Mission Specific Formulas</t>
  </si>
  <si>
    <t>Adjusted Predicted Square Feet</t>
  </si>
  <si>
    <t>GME Residents  (All Institutions)</t>
  </si>
  <si>
    <t>Appropriations Act FY 2022-23</t>
  </si>
  <si>
    <t xml:space="preserve"> June 25, 2021</t>
  </si>
  <si>
    <t xml:space="preserve">E&amp;G Space Support </t>
  </si>
  <si>
    <t>Summary by Formula
Dollars in Millions</t>
  </si>
  <si>
    <t>I &amp; O Formula - Approriations Act FY 2022-23</t>
  </si>
  <si>
    <t xml:space="preserve"> June 24, 2021</t>
  </si>
  <si>
    <t>Recap of FTSE by Category</t>
  </si>
  <si>
    <t>Under Grad    SCH</t>
  </si>
  <si>
    <t>Medical / Dental Headcount</t>
  </si>
  <si>
    <t>Dental Residents Headcount</t>
  </si>
  <si>
    <t>Masters SCH</t>
  </si>
  <si>
    <t>Total Adjusted Doctoral SCH</t>
  </si>
  <si>
    <t>Total Headcount / FTSE</t>
  </si>
  <si>
    <t>Allied Health</t>
  </si>
  <si>
    <t>Biomedical Science</t>
  </si>
  <si>
    <t>Biomedical Informatics</t>
  </si>
  <si>
    <t>Nursing</t>
  </si>
  <si>
    <t>Pharmacy</t>
  </si>
  <si>
    <t>Public Health</t>
  </si>
  <si>
    <t>Dental Education</t>
  </si>
  <si>
    <t>Medical Education</t>
  </si>
  <si>
    <t>Total by Category</t>
  </si>
  <si>
    <t>HRI State Funded FTSE</t>
  </si>
  <si>
    <t>Weights</t>
  </si>
  <si>
    <t>The University of Texas Southwestern Medical Center</t>
  </si>
  <si>
    <t>The University of Texas Medical Branch at Galveston</t>
  </si>
  <si>
    <t>The University of Texas Health Science Center at Houston</t>
  </si>
  <si>
    <t>The University of Texas Health Science Center at San Antonio</t>
  </si>
  <si>
    <t>The University of Texas M.D. Anderson Cancer Center</t>
  </si>
  <si>
    <t>The University of Texas Health Center at Tyler</t>
  </si>
  <si>
    <t xml:space="preserve">Texas A&amp;M University System Health Science Center </t>
  </si>
  <si>
    <t>University of North Texas Health Sciences Center at Fort Worth</t>
  </si>
  <si>
    <t xml:space="preserve">Texas Tech University System Health Sciences Center </t>
  </si>
  <si>
    <t>Texas Tech University System Health Sciences Center at El Paso</t>
  </si>
  <si>
    <t>The University of Texas Medical School</t>
  </si>
  <si>
    <t>The University of Texas Rio Grande Valley</t>
  </si>
  <si>
    <t>University of Houston Medical School</t>
  </si>
  <si>
    <t>Total By Discipline</t>
  </si>
  <si>
    <t>Total Number of Programs</t>
  </si>
  <si>
    <t>Total FTSE</t>
  </si>
  <si>
    <t>Per I &amp; O Recap</t>
  </si>
  <si>
    <t>Weighted FTSE</t>
  </si>
  <si>
    <t>Total WFTSE</t>
  </si>
  <si>
    <t>Allied Health State Funded FTSE</t>
  </si>
  <si>
    <t>Allied Health - Undergraduate</t>
  </si>
  <si>
    <t>Allied Health- Masters</t>
  </si>
  <si>
    <t>Allied Health- Doctoral</t>
  </si>
  <si>
    <t>Nursing State Funded FTSE</t>
  </si>
  <si>
    <t>Nursing - Undergraduate</t>
  </si>
  <si>
    <t>Nursing - Masters</t>
  </si>
  <si>
    <t>Nursing - Doctoral</t>
  </si>
  <si>
    <t>All HRI Disciplines</t>
  </si>
  <si>
    <t>Formula Dollars - One Year</t>
  </si>
  <si>
    <t>Formula Dollars - Biennium</t>
  </si>
  <si>
    <t>Health Related Institutions - Instruction &amp; Operations Formula - FY 2022-23</t>
  </si>
  <si>
    <t>FTSE Count -  State-Funded - Summer 2020, Fall 2020 and Spring 2021 - No Errors</t>
  </si>
  <si>
    <t>Educational Level</t>
  </si>
  <si>
    <t>Under  graduate</t>
  </si>
  <si>
    <t>Special Professional</t>
  </si>
  <si>
    <t>Graduate</t>
  </si>
  <si>
    <t>Unit of Measure</t>
  </si>
  <si>
    <t>SCH</t>
  </si>
  <si>
    <t>Headcount</t>
  </si>
  <si>
    <t>Appropriations Rate</t>
  </si>
  <si>
    <t xml:space="preserve">(1-(FTSE/200)) x </t>
  </si>
  <si>
    <t>Semester Credit Hours to FTSE - Adj. Factor:</t>
  </si>
  <si>
    <t>Rate x FTSE</t>
  </si>
  <si>
    <t>FY 2022-23</t>
  </si>
  <si>
    <t>Wt. Codes</t>
  </si>
  <si>
    <t>Summy Codes</t>
  </si>
  <si>
    <t>Doctoral SCH</t>
  </si>
  <si>
    <t>Doctoral SCH &gt; Cap</t>
  </si>
  <si>
    <t>Weight Per Wt. Table</t>
  </si>
  <si>
    <t>Rate  x   FTSE / Headcount</t>
  </si>
  <si>
    <t>Small Class Size Supplement</t>
  </si>
  <si>
    <t>Total Detailed Formula Calculations</t>
  </si>
  <si>
    <t>FY 2022</t>
  </si>
  <si>
    <t>FY 2023</t>
  </si>
  <si>
    <t>UNIVERSITY OF TEXAS SOUTHWESTERN MEDICAL CENTER AT DALLAS #729</t>
  </si>
  <si>
    <t>ME</t>
  </si>
  <si>
    <t>MET</t>
  </si>
  <si>
    <t>+</t>
  </si>
  <si>
    <t>=</t>
  </si>
  <si>
    <t>BS</t>
  </si>
  <si>
    <t>BST</t>
  </si>
  <si>
    <t>AH</t>
  </si>
  <si>
    <t>AHT</t>
  </si>
  <si>
    <t>Total - UT SMC Dallas</t>
  </si>
  <si>
    <t>T</t>
  </si>
  <si>
    <t>UTSWM</t>
  </si>
  <si>
    <t>UNIVERSITY OF TEXAS  MEDICAL BRANCH AT GALVESTON #723</t>
  </si>
  <si>
    <t>Medical Education - Galveston</t>
  </si>
  <si>
    <t>Medical Education - Austin (870)</t>
  </si>
  <si>
    <t>Medical Education Total</t>
  </si>
  <si>
    <t>NU</t>
  </si>
  <si>
    <t>NUT</t>
  </si>
  <si>
    <t>Nursing - Graduate</t>
  </si>
  <si>
    <t>NG</t>
  </si>
  <si>
    <t>NGT</t>
  </si>
  <si>
    <t xml:space="preserve">Public Health - Galveston                  </t>
  </si>
  <si>
    <t>PH</t>
  </si>
  <si>
    <t>PHT</t>
  </si>
  <si>
    <t>Total - UT Galveston</t>
  </si>
  <si>
    <t>UTG</t>
  </si>
  <si>
    <t>UNIVERSITY OF TEXAS HEALTH SCIENCE CENTER  AT HOUSTON #744</t>
  </si>
  <si>
    <t>DE</t>
  </si>
  <si>
    <t>DET</t>
  </si>
  <si>
    <t>Biomedical Science - Smithville (879)</t>
  </si>
  <si>
    <t>Biomedical Science Total</t>
  </si>
  <si>
    <t>Allied Health (Dental) - Houston</t>
  </si>
  <si>
    <t>Biomedical Informatics - Houston</t>
  </si>
  <si>
    <t>BI</t>
  </si>
  <si>
    <t>HIT</t>
  </si>
  <si>
    <t>Biomedical Informatics - Brownsville (872)</t>
  </si>
  <si>
    <t>Nursing - Undergraduate - Houston</t>
  </si>
  <si>
    <t>Nursing - Grad. - Houston</t>
  </si>
  <si>
    <t>Nursing - Grad. - El Paso (876)</t>
  </si>
  <si>
    <t>Total Nursing Graduate</t>
  </si>
  <si>
    <t>Public Health - Houston</t>
  </si>
  <si>
    <t>Public Health - Austin (871)</t>
  </si>
  <si>
    <t>Public Health - Brownsville (872)</t>
  </si>
  <si>
    <t>Public Health - Dallas (874)</t>
  </si>
  <si>
    <t>Public Health - El Paso (876)</t>
  </si>
  <si>
    <t>Public Health - San Antonio (878)</t>
  </si>
  <si>
    <t>Public Health Total</t>
  </si>
  <si>
    <t>Total - UT Houston</t>
  </si>
  <si>
    <t>UTH</t>
  </si>
  <si>
    <t>UNIVERSITY OF TEXAS HEALTH SCIENCE CENTER  AT SAN ANTONIO #745</t>
  </si>
  <si>
    <t>Medical Educ. - San Antonio</t>
  </si>
  <si>
    <t>Medical Education - Harlingen (882)</t>
  </si>
  <si>
    <t>Dental Education - San Antonio</t>
  </si>
  <si>
    <t>Dental Education - Laredo (884)</t>
  </si>
  <si>
    <t>Dental Education - Harlingen (882)</t>
  </si>
  <si>
    <t>Dental Education Total</t>
  </si>
  <si>
    <t>Allied Health - San Antonio</t>
  </si>
  <si>
    <t xml:space="preserve">Allied Health - Houston (312)                               </t>
  </si>
  <si>
    <t>Allied Health - Harlingen (882)</t>
  </si>
  <si>
    <t>Allied Health - Laredo (884)</t>
  </si>
  <si>
    <t>Allied Health (Dental Hygiene) - San Antonio</t>
  </si>
  <si>
    <t>Allied Health Total</t>
  </si>
  <si>
    <t xml:space="preserve">Nursing - Laredo (884)                                      </t>
  </si>
  <si>
    <t>Total - UT San Antonio</t>
  </si>
  <si>
    <t>UTSA</t>
  </si>
  <si>
    <t>UNIVERSITY OF TEXAS M.D. ANDERSON CANCER CENTER  #506</t>
  </si>
  <si>
    <t>Total - UT M. D. Anderson</t>
  </si>
  <si>
    <t>UTMDA</t>
  </si>
  <si>
    <t>UNIVERSITY OF TEXAS HEALTH CENTER AT TYLER  #785</t>
  </si>
  <si>
    <t xml:space="preserve">Public Health - Tyler                      </t>
  </si>
  <si>
    <t>Total - UT Heath Center Tyler</t>
  </si>
  <si>
    <t>UTHCT</t>
  </si>
  <si>
    <t xml:space="preserve"> TEXAS A&amp;M UNIVERSITY SYSTEM HEALTH SCIENCE CENTER  #709</t>
  </si>
  <si>
    <t>Medical Educ. - College Station</t>
  </si>
  <si>
    <t>Medical Educ. - Dallas (850)</t>
  </si>
  <si>
    <t>Medical Educ. - Houston (852)</t>
  </si>
  <si>
    <t>Medical Educ. - Round Rock (853)</t>
  </si>
  <si>
    <t>Medical Educ. - Temple (854)</t>
  </si>
  <si>
    <t>Dental Education - Dallas (850)</t>
  </si>
  <si>
    <t>Biomed. Sci. - College Station</t>
  </si>
  <si>
    <t>Biomed. Sci. - Dallas(850)</t>
  </si>
  <si>
    <t>Biomed. Sci. - Dallas (Dental)(850)</t>
  </si>
  <si>
    <t>Biomed. Sci. - Houston (852)</t>
  </si>
  <si>
    <t>Biomed. Sci. - Temple (854)</t>
  </si>
  <si>
    <t>Biomed. Sci. - Kingsville (856)</t>
  </si>
  <si>
    <t>Allied Health (Dental Hygiene)(850)</t>
  </si>
  <si>
    <t>Nursing - Undergrad. - College Station</t>
  </si>
  <si>
    <t>Nursing - Undergrad. - Round Rock (853)</t>
  </si>
  <si>
    <t>Nursing - Undergrad.- McAllen (857)</t>
  </si>
  <si>
    <t>Nursing Undergraduate Total</t>
  </si>
  <si>
    <t>Nursing - Graduate. - College Station</t>
  </si>
  <si>
    <t>Nursing Graduate Total</t>
  </si>
  <si>
    <t>Pharmacy - College Station</t>
  </si>
  <si>
    <t>P</t>
  </si>
  <si>
    <t>Pharmacy - Kingsville (856)</t>
  </si>
  <si>
    <t>Pharmacy Total</t>
  </si>
  <si>
    <t>PT</t>
  </si>
  <si>
    <t>Public Health - College Station</t>
  </si>
  <si>
    <t>Public Health - Dallas (850)</t>
  </si>
  <si>
    <t>Public Health - Austin (851)</t>
  </si>
  <si>
    <t>Public Health - Houston (852)</t>
  </si>
  <si>
    <t>Public Health - Round Rock (853)</t>
  </si>
  <si>
    <t>Public Health - Temple (854)</t>
  </si>
  <si>
    <t>Public Health - McAllen (857)</t>
  </si>
  <si>
    <t>Total - A &amp; M</t>
  </si>
  <si>
    <t>TA&amp;M</t>
  </si>
  <si>
    <t>UNIVERSITY OF NORTH TEXAS HEALTH SCIENCE CENTER AT FORT WORTH #763</t>
  </si>
  <si>
    <t>Pharmacy - Ft. Worth</t>
  </si>
  <si>
    <t>Total - N. Texas</t>
  </si>
  <si>
    <t>UNT</t>
  </si>
  <si>
    <t>TEXAS TECH UNIVERSITY HEALTH SCIENCES CENTER #739</t>
  </si>
  <si>
    <t>Med. Educ. - Lubbock</t>
  </si>
  <si>
    <t>Med. Educ. - Amarillo (860)</t>
  </si>
  <si>
    <t>Med. Educ. - Odessa (864)</t>
  </si>
  <si>
    <t>Bio. Med. Sci. - Lubbock</t>
  </si>
  <si>
    <t>Bio Med. Sci. - El Paso (422)</t>
  </si>
  <si>
    <t>Bio Med. Sci. - Amarillo (860)</t>
  </si>
  <si>
    <t>Bio Med. Sci. - Abilene (861)</t>
  </si>
  <si>
    <t>Allied Health - Lubbock</t>
  </si>
  <si>
    <t>Allied Health - Amarillo (860)</t>
  </si>
  <si>
    <t>Allied Health - Midland (863)</t>
  </si>
  <si>
    <t>Allied Health - Odessa (864)</t>
  </si>
  <si>
    <t>Nursing - Undgrad. - Lubbock</t>
  </si>
  <si>
    <t>Nursing - Undgrad. - Abilene (861)</t>
  </si>
  <si>
    <t>Nursing - Undgrad. - Odessa (864)</t>
  </si>
  <si>
    <t>Nursing Undgrad. Total</t>
  </si>
  <si>
    <t>Nursing - Grad. - Lubbock</t>
  </si>
  <si>
    <t>Nursing - Grad. - Abilene (861)</t>
  </si>
  <si>
    <t>Nursing - Grad. - Odessa (864)</t>
  </si>
  <si>
    <t>Nursing Grad. Total</t>
  </si>
  <si>
    <t>Pharmacy - Lubbock</t>
  </si>
  <si>
    <t>Pharmacy - Amarillo (860)</t>
  </si>
  <si>
    <t>Pharmacy - Abilene (861)</t>
  </si>
  <si>
    <t>Pharmacy - Dallas (866)</t>
  </si>
  <si>
    <t>Public Health - Lubbock</t>
  </si>
  <si>
    <t>Public Health - Abilene (861)</t>
  </si>
  <si>
    <t>Total - Texas Tech</t>
  </si>
  <si>
    <t>TTU</t>
  </si>
  <si>
    <t>TEXAS TECH UNIVERSITY HEALTH SCIENCES CENTER at El Paso</t>
  </si>
  <si>
    <t>Med. Educ. - El Paso (862)</t>
  </si>
  <si>
    <t xml:space="preserve">Biomedical Science - El Paso </t>
  </si>
  <si>
    <t>Nursing - Undgrad. - El Paso (862)</t>
  </si>
  <si>
    <t>Nursing - Grad. - El Paso (862)</t>
  </si>
  <si>
    <t>Total - Texas Tech at El Paso</t>
  </si>
  <si>
    <t>TTUEP</t>
  </si>
  <si>
    <t>UT Austin - Medical School</t>
  </si>
  <si>
    <t>Med. Educ. - Austin</t>
  </si>
  <si>
    <t>Bio. Med. Sci. - Austin</t>
  </si>
  <si>
    <t>Allied Health - Austin</t>
  </si>
  <si>
    <t>Nursing - Undgrad. - Austin</t>
  </si>
  <si>
    <t>Nursing - Grad. - Austin</t>
  </si>
  <si>
    <t>Pharmacy - Austin</t>
  </si>
  <si>
    <t>Public Health - Austin</t>
  </si>
  <si>
    <t>Total - UT Austin - Med School</t>
  </si>
  <si>
    <t>UTA</t>
  </si>
  <si>
    <t>UT RGV - Medical School</t>
  </si>
  <si>
    <t>Med. Educ. -</t>
  </si>
  <si>
    <t xml:space="preserve">Bio. Med. Sci. </t>
  </si>
  <si>
    <t xml:space="preserve">Allied Health </t>
  </si>
  <si>
    <t>Nursing - Undgrad.</t>
  </si>
  <si>
    <t xml:space="preserve">Nursing - Grad. </t>
  </si>
  <si>
    <t xml:space="preserve">Public Health </t>
  </si>
  <si>
    <t>Total - UT RGV - Med School</t>
  </si>
  <si>
    <t>RGV</t>
  </si>
  <si>
    <t>UH - Medical School</t>
  </si>
  <si>
    <t>Total - UH - Med School</t>
  </si>
  <si>
    <t>UH</t>
  </si>
  <si>
    <t>Grand Total I &amp; O Formula Funding</t>
  </si>
  <si>
    <t>Shading Legend:</t>
  </si>
  <si>
    <t>Discipline is N/A for institution</t>
  </si>
  <si>
    <t>Formula combines undergraduate and Graduate nursing for Small Class Supplement</t>
  </si>
  <si>
    <t>Program Not Authorized by statute</t>
  </si>
  <si>
    <t>$ Recap by Category</t>
  </si>
  <si>
    <t>Auto Update</t>
  </si>
  <si>
    <t>Cross foot</t>
  </si>
  <si>
    <t>Difference</t>
  </si>
  <si>
    <t xml:space="preserve">Recap of FTSE by Institution - Column Totals SCH / Headcount </t>
  </si>
  <si>
    <t>Totals</t>
  </si>
  <si>
    <t>Recap of FTSE by Institution - Column Totals FTSE / Headcount</t>
  </si>
  <si>
    <t>FTSE FY 20-21</t>
  </si>
  <si>
    <t xml:space="preserve">UT Austin Medical School </t>
  </si>
  <si>
    <t>Recap by Institution - Biennium Dollars</t>
  </si>
  <si>
    <t>MOF Sum - If.</t>
  </si>
  <si>
    <t>FY 2020-21</t>
  </si>
  <si>
    <t>Change</t>
  </si>
  <si>
    <t>Appropriations</t>
  </si>
  <si>
    <t>Balanced</t>
  </si>
  <si>
    <t>Amount to Summary</t>
  </si>
  <si>
    <t>Alternative 1</t>
  </si>
  <si>
    <t>Alternative 2</t>
  </si>
  <si>
    <t>Category</t>
  </si>
  <si>
    <t>Wt. Code</t>
  </si>
  <si>
    <t>Weight</t>
  </si>
  <si>
    <t>Small Class Size Supp. - Rate</t>
  </si>
  <si>
    <t>Cost of One Student</t>
  </si>
  <si>
    <t>Class size</t>
  </si>
  <si>
    <t>Health-Related FTSE and Headcount by School -- BY 2021 for Appropriations Run 16 Mar 2021 at 15:04</t>
  </si>
  <si>
    <t xml:space="preserve">     SCH from Summer 2020, Fall 2020, Spring 2021 -- Classes A-D and M with flex-entry = 2 are included</t>
  </si>
  <si>
    <t>Error Free Data</t>
  </si>
  <si>
    <t xml:space="preserve">     P Count from Fall 2020 -- M Count is highest count among the three terms</t>
  </si>
  <si>
    <t>Doc SCH</t>
  </si>
  <si>
    <t>I &amp; O Funding Category</t>
  </si>
  <si>
    <t>H-FICE</t>
  </si>
  <si>
    <t>C-FICE</t>
  </si>
  <si>
    <t>Remote</t>
  </si>
  <si>
    <t>FE</t>
  </si>
  <si>
    <t>Ug SCH</t>
  </si>
  <si>
    <t>M SCH</t>
  </si>
  <si>
    <t>D SCH</t>
  </si>
  <si>
    <t>P Cnt</t>
  </si>
  <si>
    <t>M Cnt</t>
  </si>
  <si>
    <t>GT Limit</t>
  </si>
  <si>
    <t>FTE</t>
  </si>
  <si>
    <t>College Name</t>
  </si>
  <si>
    <t>Remote Teaching Site Name</t>
  </si>
  <si>
    <t xml:space="preserve">The University of Texas Southwestern Medical Center              </t>
  </si>
  <si>
    <t xml:space="preserve">Medical Education - Dallas                                  </t>
  </si>
  <si>
    <t xml:space="preserve">  </t>
  </si>
  <si>
    <t xml:space="preserve">UT Southwestern Medical School        </t>
  </si>
  <si>
    <t xml:space="preserve">                                </t>
  </si>
  <si>
    <t xml:space="preserve">Biomedical Science - Dallas                                 </t>
  </si>
  <si>
    <t xml:space="preserve">UT Grad Sch Biomed Sci/Dallas         </t>
  </si>
  <si>
    <t xml:space="preserve">Allied Health - Dallas                                      </t>
  </si>
  <si>
    <t xml:space="preserve">UT Sch of Health Prof/Dallas          </t>
  </si>
  <si>
    <t>TOTAL</t>
  </si>
  <si>
    <t xml:space="preserve">The University of Texas Medical Branch at Galveston              </t>
  </si>
  <si>
    <t xml:space="preserve">Medical Education - Galveston                               </t>
  </si>
  <si>
    <t xml:space="preserve">UT Medical School-Galveston           </t>
  </si>
  <si>
    <t xml:space="preserve">Medical Education - Austin (870)                            </t>
  </si>
  <si>
    <t xml:space="preserve">UTMB Galveston-Austin           </t>
  </si>
  <si>
    <t xml:space="preserve">Biomedical Science - Galveston                              </t>
  </si>
  <si>
    <t xml:space="preserve">UT Grad Sch Biomed Sci/Galv           </t>
  </si>
  <si>
    <t xml:space="preserve">Allied Health - Galveston                                   </t>
  </si>
  <si>
    <t xml:space="preserve">UT Sch of Health Prof/Galv            </t>
  </si>
  <si>
    <t xml:space="preserve">Nursing - Galveston                                         </t>
  </si>
  <si>
    <t xml:space="preserve">UT School of Nursing/Galv             </t>
  </si>
  <si>
    <t xml:space="preserve">Public Health - Galveston                                   </t>
  </si>
  <si>
    <t xml:space="preserve">The University of Texas Health Science Center at Houston         </t>
  </si>
  <si>
    <t xml:space="preserve">Medical Education - Houston                                 </t>
  </si>
  <si>
    <t xml:space="preserve">UT Medical School-Houston             </t>
  </si>
  <si>
    <t xml:space="preserve">Dental Education - Houston                                  </t>
  </si>
  <si>
    <t xml:space="preserve">UT Dental School-Houston              </t>
  </si>
  <si>
    <t xml:space="preserve">UT Dental Branch/Acad-Houston         </t>
  </si>
  <si>
    <t xml:space="preserve">Biomedical Science - Houston                                </t>
  </si>
  <si>
    <t xml:space="preserve">UT Grad Sch Biomed Sci/Houston        </t>
  </si>
  <si>
    <t xml:space="preserve">UT Medical School/Acad-Houston        </t>
  </si>
  <si>
    <t xml:space="preserve">Biomedical Science - Smithville (879)                       </t>
  </si>
  <si>
    <t xml:space="preserve">Grad Sch Biomedical Sci               </t>
  </si>
  <si>
    <t xml:space="preserve">Allied Health (Dental Hygiene) - Houston                    </t>
  </si>
  <si>
    <t xml:space="preserve">UT Coll Dental Hygiene/Houston        </t>
  </si>
  <si>
    <t xml:space="preserve">Allied Health (Dental) - Houston                            </t>
  </si>
  <si>
    <t xml:space="preserve">Allied Health (Informatics) - Houston                       </t>
  </si>
  <si>
    <t xml:space="preserve">UT Sch Biomed Informatics/Houston     </t>
  </si>
  <si>
    <t xml:space="preserve">Allied Health (Informatics) - Brownsville (872)             </t>
  </si>
  <si>
    <t xml:space="preserve">UTHSC Houston-Brownsville RAHC  </t>
  </si>
  <si>
    <t xml:space="preserve">Nursing - Houston                                           </t>
  </si>
  <si>
    <t xml:space="preserve">UT School of Nursing/Houston          </t>
  </si>
  <si>
    <t xml:space="preserve">Nursing - El Paso (876)                                     </t>
  </si>
  <si>
    <t xml:space="preserve">UTHSC Houston-El Paso           </t>
  </si>
  <si>
    <t xml:space="preserve">Public Health - Houston                                     </t>
  </si>
  <si>
    <t xml:space="preserve">UT Sch of Public Hlth/Houston         </t>
  </si>
  <si>
    <t xml:space="preserve">Public Health - Austin (871)                                </t>
  </si>
  <si>
    <t xml:space="preserve">UTHSC Houston-Austin            </t>
  </si>
  <si>
    <t xml:space="preserve">Public Health - Brownsville (872)                           </t>
  </si>
  <si>
    <t xml:space="preserve">Public Health - Dallas (874)                                </t>
  </si>
  <si>
    <t xml:space="preserve">UTHSC Houston-Dallas            </t>
  </si>
  <si>
    <t xml:space="preserve">Public Health - El Paso (876)                               </t>
  </si>
  <si>
    <t xml:space="preserve">Public Health - San Antonio (878)                           </t>
  </si>
  <si>
    <t xml:space="preserve">UTHSC Houston-San Antonio       </t>
  </si>
  <si>
    <t xml:space="preserve">The University of Texas Health Science Center at San Antonio     </t>
  </si>
  <si>
    <t xml:space="preserve">Medical Education - San Antonio                             </t>
  </si>
  <si>
    <t xml:space="preserve">UT Medical School-San Antonio         </t>
  </si>
  <si>
    <t xml:space="preserve">Medical Education - Harlingen (882)                         </t>
  </si>
  <si>
    <t xml:space="preserve">UTHSC SA-Harlingen Research Div </t>
  </si>
  <si>
    <t xml:space="preserve">Dental Education - San Antonio                              </t>
  </si>
  <si>
    <t xml:space="preserve">UT Dental School/Academics SA         </t>
  </si>
  <si>
    <t xml:space="preserve">UT Dental School-San Antonio          </t>
  </si>
  <si>
    <t xml:space="preserve">Dental Education - Harlingen (882)                          </t>
  </si>
  <si>
    <t xml:space="preserve">Dental Education - Laredo (884)                             </t>
  </si>
  <si>
    <t xml:space="preserve">UTHSC SA-Laredo Research Div    </t>
  </si>
  <si>
    <t xml:space="preserve">Biomedical Science - San Antonio                            </t>
  </si>
  <si>
    <t xml:space="preserve">UT Grad Sch Biomed Sci/SA             </t>
  </si>
  <si>
    <t xml:space="preserve">Allied Health - San Antonio                                 </t>
  </si>
  <si>
    <t xml:space="preserve">UT Sch of Health Prof/SA              </t>
  </si>
  <si>
    <t xml:space="preserve">UT Medical School/Academics SA        </t>
  </si>
  <si>
    <t xml:space="preserve">UTHSC SA-Houston                </t>
  </si>
  <si>
    <t xml:space="preserve">Allied Health (Dental Hygiene) - San Antonio                </t>
  </si>
  <si>
    <t xml:space="preserve">Allied Health - Harlingen (882)                             </t>
  </si>
  <si>
    <t xml:space="preserve">Allied Health - Laredo (884)                                </t>
  </si>
  <si>
    <t xml:space="preserve">Nursing - San Antonio                                       </t>
  </si>
  <si>
    <t xml:space="preserve">UT School of Nursing/SA               </t>
  </si>
  <si>
    <t xml:space="preserve">The University of Texas M.D. Anderson Cancer Center              </t>
  </si>
  <si>
    <t xml:space="preserve">Allied Health - Houston                                     </t>
  </si>
  <si>
    <t xml:space="preserve">UT M.D. Anderson Cancer Center        </t>
  </si>
  <si>
    <t xml:space="preserve">The University of Texas Health Science Center at Tyler           </t>
  </si>
  <si>
    <t xml:space="preserve">Biomedical Science                                          </t>
  </si>
  <si>
    <t xml:space="preserve">UT HSC at Tyler                       </t>
  </si>
  <si>
    <t xml:space="preserve">Public Health - Tyler                                       </t>
  </si>
  <si>
    <t>UT HSC at Tyler/Sch Comm and Rural Hea</t>
  </si>
  <si>
    <t xml:space="preserve">Texas A&amp;M University System Health Science Center                </t>
  </si>
  <si>
    <t xml:space="preserve">Medical Education - College Station                         </t>
  </si>
  <si>
    <t xml:space="preserve">TAMUS HSC-College of Medicine         </t>
  </si>
  <si>
    <t xml:space="preserve">Medical Education - Dallas (850)                            </t>
  </si>
  <si>
    <t xml:space="preserve">TAMUS HSC-Dallas Campus         </t>
  </si>
  <si>
    <t xml:space="preserve">Medical Education - Houston (852)                           </t>
  </si>
  <si>
    <t xml:space="preserve">TAMUS HSC-Houston Campus        </t>
  </si>
  <si>
    <t xml:space="preserve">Medical Education - Round Rock (853)                        </t>
  </si>
  <si>
    <t xml:space="preserve">TAMUS HSC-Round Rock Campus     </t>
  </si>
  <si>
    <t xml:space="preserve">Medical Education - Temple (854)                            </t>
  </si>
  <si>
    <t xml:space="preserve">TAMUS HSC-Temple Campus         </t>
  </si>
  <si>
    <t xml:space="preserve">Dental Education - Dallas (850)                             </t>
  </si>
  <si>
    <t xml:space="preserve">TAMUS HSC-Baylor Col Den Dental Sch   </t>
  </si>
  <si>
    <t xml:space="preserve">TAMUS HSC-Baylor Col Den Adv Ed       </t>
  </si>
  <si>
    <t xml:space="preserve">Biomedical Science - College Station                        </t>
  </si>
  <si>
    <t xml:space="preserve">TAMUS HSC-Coll Med Academic           </t>
  </si>
  <si>
    <t xml:space="preserve">Biomedical Science (Dental) - Dallas (850)                  </t>
  </si>
  <si>
    <t>Biomedical Science (Dental) - Dallas (850)</t>
  </si>
  <si>
    <t xml:space="preserve">Biomedical Science - Houston (852)                          </t>
  </si>
  <si>
    <t xml:space="preserve">Biomedical Science - Temple (854)                           </t>
  </si>
  <si>
    <t xml:space="preserve">Allied Health (Dental) - Dallas (850)                       </t>
  </si>
  <si>
    <t xml:space="preserve">TAMUS HSC-Baylor Col Den Dent Hygiene </t>
  </si>
  <si>
    <t xml:space="preserve">Nursing - College Station                                   </t>
  </si>
  <si>
    <t xml:space="preserve">TAMUS HSC-Col of Nursing              </t>
  </si>
  <si>
    <t xml:space="preserve">Nursing - Round Rock (853)                                  </t>
  </si>
  <si>
    <t xml:space="preserve">Nursing - McAllen (857)                                     </t>
  </si>
  <si>
    <t xml:space="preserve">TAMUS HSC-McAllen Campus        </t>
  </si>
  <si>
    <t xml:space="preserve">Pharmacy - College Station                                  </t>
  </si>
  <si>
    <t xml:space="preserve">TAMUS HSC-Col of Pharmacy             </t>
  </si>
  <si>
    <t xml:space="preserve">Pharmacy - College Station                 </t>
  </si>
  <si>
    <t xml:space="preserve">Pharmacy - Kingsville (856)                                 </t>
  </si>
  <si>
    <t xml:space="preserve">TAMUS HSC-Kingsville Campus     </t>
  </si>
  <si>
    <t xml:space="preserve">Pharmacy - Kingsville (856)                </t>
  </si>
  <si>
    <t xml:space="preserve">Public Health - College Station                             </t>
  </si>
  <si>
    <t xml:space="preserve">TAMUS HSC-Sch Rural Public Hlth       </t>
  </si>
  <si>
    <t xml:space="preserve">Public Health - Dallas (850)                                </t>
  </si>
  <si>
    <t xml:space="preserve">Public Health - Austin (851)                                </t>
  </si>
  <si>
    <t xml:space="preserve">TAMUS HSC-Austin                </t>
  </si>
  <si>
    <t xml:space="preserve">Public Health - Houston (852)                               </t>
  </si>
  <si>
    <t xml:space="preserve">Public Health - Round Rock (853)                            </t>
  </si>
  <si>
    <t xml:space="preserve">Public Health - Temple (854)                                </t>
  </si>
  <si>
    <t xml:space="preserve">Public Health - McAllen (857)                               </t>
  </si>
  <si>
    <t xml:space="preserve">University of North Texas Health Science Center                  </t>
  </si>
  <si>
    <t xml:space="preserve">Medical Education - Ft. Worth                               </t>
  </si>
  <si>
    <t xml:space="preserve">Tex Col Osteopathic Medicine          </t>
  </si>
  <si>
    <t xml:space="preserve">Biomedical Science - Ft. Worth                              </t>
  </si>
  <si>
    <t xml:space="preserve">UNT Grad Sch Biomed Sciences          </t>
  </si>
  <si>
    <t xml:space="preserve">Allied Health - Ft. Worth                                   </t>
  </si>
  <si>
    <t xml:space="preserve">UNT School of Health Professions      </t>
  </si>
  <si>
    <t xml:space="preserve">Pharmacy - Ft. Worth                                        </t>
  </si>
  <si>
    <t xml:space="preserve">UNT School of Pharmacy                </t>
  </si>
  <si>
    <t xml:space="preserve">Public Health - Ft. Worth                                   </t>
  </si>
  <si>
    <t xml:space="preserve">UNT School of Public Health           </t>
  </si>
  <si>
    <t xml:space="preserve">Texas Tech University Health Sciences Center                     </t>
  </si>
  <si>
    <t xml:space="preserve">Medical Education - Lubbock                                 </t>
  </si>
  <si>
    <t xml:space="preserve">TTU HSC Sch of Medicine               </t>
  </si>
  <si>
    <t xml:space="preserve">Medical Education - Amarillo (860)                          </t>
  </si>
  <si>
    <t xml:space="preserve">TTU HSC-Amarillo                </t>
  </si>
  <si>
    <t xml:space="preserve">Medical Education - El Paso (862)                           </t>
  </si>
  <si>
    <t>TTU HSC Paul L. Foster Sch of Medicine</t>
  </si>
  <si>
    <t xml:space="preserve">TTU HSC-El Paso                 </t>
  </si>
  <si>
    <t xml:space="preserve">Medical Education - Odessa (864)                            </t>
  </si>
  <si>
    <t xml:space="preserve">TTU HSC-Odessa                  </t>
  </si>
  <si>
    <t xml:space="preserve">Biomedical Science - Lubbock                                </t>
  </si>
  <si>
    <t xml:space="preserve">TTU HSC Grad Sch Biomed Sci           </t>
  </si>
  <si>
    <t>Biomedical Science - Lubbock</t>
  </si>
  <si>
    <t xml:space="preserve">Biomedical Science - El Paso (422)                          </t>
  </si>
  <si>
    <t xml:space="preserve">Biomedical Science - Amarillo (860)                         </t>
  </si>
  <si>
    <t xml:space="preserve">Biomedical Science - Abilene (861)                          </t>
  </si>
  <si>
    <t xml:space="preserve">TTU HSC-Abilene                 </t>
  </si>
  <si>
    <t xml:space="preserve">Allied Health - Lubbock                                     </t>
  </si>
  <si>
    <t xml:space="preserve">TTU HSC Sch of Allied Hlth            </t>
  </si>
  <si>
    <t xml:space="preserve">Allied Health - Amarillo (860)                              </t>
  </si>
  <si>
    <t xml:space="preserve">Allied Health - Midland (863)                               </t>
  </si>
  <si>
    <t xml:space="preserve">TTU HSC-Midland                 </t>
  </si>
  <si>
    <t xml:space="preserve">Allied Health - Odessa (864)                                </t>
  </si>
  <si>
    <t xml:space="preserve">Nursing - Lubbock                                           </t>
  </si>
  <si>
    <t xml:space="preserve">TTU HSC Sch of Nursing                </t>
  </si>
  <si>
    <t>Nursing - Lubbock</t>
  </si>
  <si>
    <t xml:space="preserve">Nursing - Abilene (861)                                     </t>
  </si>
  <si>
    <t xml:space="preserve">Nursing - El Paso (862)                                     </t>
  </si>
  <si>
    <t>TTU HSC Gayle Greve Hunt Sch of Nursin</t>
  </si>
  <si>
    <t xml:space="preserve">Nursing - Odessa (864)                                      </t>
  </si>
  <si>
    <t xml:space="preserve">Pharmacy - Lubbock                                          </t>
  </si>
  <si>
    <t xml:space="preserve">TTU HSC Sch of Pharmacy               </t>
  </si>
  <si>
    <t xml:space="preserve">Pharmacy - Amarillo (860)                                   </t>
  </si>
  <si>
    <t xml:space="preserve">Pharmacy - Abilene (861)                                    </t>
  </si>
  <si>
    <t xml:space="preserve">Pharmacy - Dallas (866)                                     </t>
  </si>
  <si>
    <t xml:space="preserve">TTU HSC-Dallas Pharm Clinic Pl  </t>
  </si>
  <si>
    <t xml:space="preserve">Public Health                                               </t>
  </si>
  <si>
    <t xml:space="preserve">TTU HSC Dept of Public Health         </t>
  </si>
  <si>
    <t xml:space="preserve">Public Health - Abilene (861)                               </t>
  </si>
  <si>
    <t xml:space="preserve">Texas Tech University Health Sciences Center-El Paso             </t>
  </si>
  <si>
    <t xml:space="preserve">Medical Education                                           </t>
  </si>
  <si>
    <t xml:space="preserve">Nursing                                                     </t>
  </si>
  <si>
    <t xml:space="preserve">Biomedical Science - El Paso                                </t>
  </si>
  <si>
    <t>TTU HSC, Biomedical Sciences - El Paso</t>
  </si>
  <si>
    <t xml:space="preserve">The University of Texas at Austin Medical School            </t>
  </si>
  <si>
    <t xml:space="preserve">UT Austin Medical School         </t>
  </si>
  <si>
    <t xml:space="preserve">The University of Texas-Rio Grande Valley - Medical School       </t>
  </si>
  <si>
    <t xml:space="preserve">UTRGV School of Medicine              </t>
  </si>
  <si>
    <t xml:space="preserve">University of Houston Medical School                             </t>
  </si>
  <si>
    <t xml:space="preserve">U of H Medical School (M)             </t>
  </si>
  <si>
    <t>STATEWIDE TOTAL</t>
  </si>
  <si>
    <t>FE = 1 - Prior-term classes that were reported after census date:  included in count.</t>
  </si>
  <si>
    <t>FE = 2 - Professional enrolled in academic classwork:  included in count.</t>
  </si>
  <si>
    <t>FE = 4 - Academic students taking courses at HRI:  included in count.</t>
  </si>
  <si>
    <t>M Cnt is Professional Practice.</t>
  </si>
  <si>
    <t>TEC 61.059 (l)(2)(B) allows formula funding for Doctoral students' semester credit hours at HRIs to a maximum of 130 SCH.</t>
  </si>
  <si>
    <t>Source:  Texas Higher Education Coordinating Board - 16 Mar 2021</t>
  </si>
  <si>
    <t>Generated from SASserver\FormFund\BY 2021\XM20-019h\HProc21test.sas - dSCH21.sas - HProcM21.sas</t>
  </si>
  <si>
    <t xml:space="preserve">Sam Houston State University Medical School                      </t>
  </si>
  <si>
    <t xml:space="preserve">Medical Education                          </t>
  </si>
  <si>
    <t xml:space="preserve">103606 </t>
  </si>
  <si>
    <t xml:space="preserve">SHSU Medical School (M)               </t>
  </si>
  <si>
    <t xml:space="preserve">                                           </t>
  </si>
  <si>
    <t xml:space="preserve">                                      </t>
  </si>
  <si>
    <t xml:space="preserve">000030 </t>
  </si>
  <si>
    <t xml:space="preserve">003660 </t>
  </si>
  <si>
    <t xml:space="preserve">000101 </t>
  </si>
  <si>
    <t xml:space="preserve">2 </t>
  </si>
  <si>
    <t xml:space="preserve">010019 </t>
  </si>
  <si>
    <t xml:space="preserve">104952 </t>
  </si>
  <si>
    <t xml:space="preserve">004952 </t>
  </si>
  <si>
    <t xml:space="preserve">000870 </t>
  </si>
  <si>
    <t xml:space="preserve">000401 </t>
  </si>
  <si>
    <t xml:space="preserve">000403 </t>
  </si>
  <si>
    <t xml:space="preserve">000402 </t>
  </si>
  <si>
    <t xml:space="preserve">000425 </t>
  </si>
  <si>
    <t xml:space="preserve">011618 </t>
  </si>
  <si>
    <t xml:space="preserve">009348 </t>
  </si>
  <si>
    <t xml:space="preserve">004951 </t>
  </si>
  <si>
    <t xml:space="preserve">000411 </t>
  </si>
  <si>
    <t xml:space="preserve">004954 </t>
  </si>
  <si>
    <t xml:space="preserve">109348 </t>
  </si>
  <si>
    <t xml:space="preserve">000879 </t>
  </si>
  <si>
    <t xml:space="preserve">000306 </t>
  </si>
  <si>
    <t xml:space="preserve">000410 </t>
  </si>
  <si>
    <t xml:space="preserve">000203 </t>
  </si>
  <si>
    <t xml:space="preserve">000872 </t>
  </si>
  <si>
    <t xml:space="preserve">000201 </t>
  </si>
  <si>
    <t xml:space="preserve">000876 </t>
  </si>
  <si>
    <t xml:space="preserve">006956 </t>
  </si>
  <si>
    <t xml:space="preserve">000871 </t>
  </si>
  <si>
    <t xml:space="preserve">000874 </t>
  </si>
  <si>
    <t xml:space="preserve">000878 </t>
  </si>
  <si>
    <t xml:space="preserve">000040 </t>
  </si>
  <si>
    <t xml:space="preserve">003659 </t>
  </si>
  <si>
    <t xml:space="preserve">000882 </t>
  </si>
  <si>
    <t xml:space="preserve">000304 </t>
  </si>
  <si>
    <t xml:space="preserve">000884 </t>
  </si>
  <si>
    <t xml:space="preserve">009799 </t>
  </si>
  <si>
    <t xml:space="preserve">000301 </t>
  </si>
  <si>
    <t xml:space="preserve">000303 </t>
  </si>
  <si>
    <t xml:space="preserve">1 </t>
  </si>
  <si>
    <t xml:space="preserve">000305 </t>
  </si>
  <si>
    <t xml:space="preserve">000312 </t>
  </si>
  <si>
    <t xml:space="preserve">000311 </t>
  </si>
  <si>
    <t xml:space="preserve">000302 </t>
  </si>
  <si>
    <t xml:space="preserve">025554 </t>
  </si>
  <si>
    <t xml:space="preserve">042439 </t>
  </si>
  <si>
    <t xml:space="preserve">000427 </t>
  </si>
  <si>
    <t xml:space="preserve">000429 </t>
  </si>
  <si>
    <t xml:space="preserve">000089 </t>
  </si>
  <si>
    <t xml:space="preserve">000080 </t>
  </si>
  <si>
    <t xml:space="preserve">000850 </t>
  </si>
  <si>
    <t xml:space="preserve">000852 </t>
  </si>
  <si>
    <t xml:space="preserve">000853 </t>
  </si>
  <si>
    <t xml:space="preserve">000854 </t>
  </si>
  <si>
    <t xml:space="preserve">004948 </t>
  </si>
  <si>
    <t xml:space="preserve">000406 </t>
  </si>
  <si>
    <t xml:space="preserve">000180 </t>
  </si>
  <si>
    <t xml:space="preserve">4 </t>
  </si>
  <si>
    <t xml:space="preserve">000417 </t>
  </si>
  <si>
    <t xml:space="preserve">000405 </t>
  </si>
  <si>
    <t xml:space="preserve">000079 </t>
  </si>
  <si>
    <t xml:space="preserve">000857 </t>
  </si>
  <si>
    <t xml:space="preserve">000088 </t>
  </si>
  <si>
    <t xml:space="preserve">000856 </t>
  </si>
  <si>
    <t xml:space="preserve">000087 </t>
  </si>
  <si>
    <t xml:space="preserve">000851 </t>
  </si>
  <si>
    <t xml:space="preserve">000130 </t>
  </si>
  <si>
    <t xml:space="preserve">009768 </t>
  </si>
  <si>
    <t xml:space="preserve">000131 </t>
  </si>
  <si>
    <t xml:space="preserve">000133 </t>
  </si>
  <si>
    <t xml:space="preserve">000136 </t>
  </si>
  <si>
    <t xml:space="preserve">000134 </t>
  </si>
  <si>
    <t xml:space="preserve">000412 </t>
  </si>
  <si>
    <t xml:space="preserve">010674 </t>
  </si>
  <si>
    <t xml:space="preserve">000860 </t>
  </si>
  <si>
    <t xml:space="preserve">000418 </t>
  </si>
  <si>
    <t xml:space="preserve">000862 </t>
  </si>
  <si>
    <t xml:space="preserve">000864 </t>
  </si>
  <si>
    <t xml:space="preserve">210674 </t>
  </si>
  <si>
    <t xml:space="preserve">000422 </t>
  </si>
  <si>
    <t xml:space="preserve">000861 </t>
  </si>
  <si>
    <t xml:space="preserve">000413 </t>
  </si>
  <si>
    <t xml:space="preserve">000863 </t>
  </si>
  <si>
    <t xml:space="preserve">110674 </t>
  </si>
  <si>
    <t xml:space="preserve">000420 </t>
  </si>
  <si>
    <t xml:space="preserve">000416 </t>
  </si>
  <si>
    <t xml:space="preserve">000866 </t>
  </si>
  <si>
    <t xml:space="preserve">000419 </t>
  </si>
  <si>
    <t xml:space="preserve">Public Health - Amarillo (860)                              </t>
  </si>
  <si>
    <t xml:space="preserve">203658 </t>
  </si>
  <si>
    <t xml:space="preserve">203599 </t>
  </si>
  <si>
    <t xml:space="preserve">203652 </t>
  </si>
  <si>
    <t xml:space="preserve">                                                                 </t>
  </si>
  <si>
    <t>Historical Schedule of Weights &amp; Rates (Per Appropriation Act)</t>
  </si>
  <si>
    <t>FY 00-01</t>
  </si>
  <si>
    <t>FY 02-03</t>
  </si>
  <si>
    <t>FY 04-05</t>
  </si>
  <si>
    <t>FY 06-07</t>
  </si>
  <si>
    <t>FY 08-09</t>
  </si>
  <si>
    <t>FY 10-11</t>
  </si>
  <si>
    <t xml:space="preserve">FY 12-13 &amp; FY 14-15 &amp; FY 16-17 &amp; FY 18-19 </t>
  </si>
  <si>
    <t>FY 20-21</t>
  </si>
  <si>
    <t>FY 22-23</t>
  </si>
  <si>
    <t>Medical Education - Austin</t>
  </si>
  <si>
    <t>Not Needed</t>
  </si>
  <si>
    <t xml:space="preserve"> Small Class Size Supplement - Rate</t>
  </si>
  <si>
    <t>N/A</t>
  </si>
  <si>
    <t>$30K rate used.</t>
  </si>
  <si>
    <t>All Others</t>
  </si>
  <si>
    <t>Class Size</t>
  </si>
  <si>
    <t>HB1 Only</t>
  </si>
  <si>
    <t>HB1 &amp; HB4</t>
  </si>
  <si>
    <t>FY 12-13</t>
  </si>
  <si>
    <t>FY 14-15</t>
  </si>
  <si>
    <t>FY 16-17</t>
  </si>
  <si>
    <t>FY 18-19</t>
  </si>
  <si>
    <t>I &amp; O Approp. Rate</t>
  </si>
  <si>
    <t>Historical Summary of FTSE - Base Period</t>
  </si>
  <si>
    <t>FTSE</t>
  </si>
  <si>
    <t>in Allied H.</t>
  </si>
  <si>
    <t>In Undergrad</t>
  </si>
  <si>
    <t>Total Nursing</t>
  </si>
  <si>
    <t xml:space="preserve">Health-Related Institutions </t>
  </si>
  <si>
    <t>Infrastructure Formula</t>
  </si>
  <si>
    <t xml:space="preserve"> June 1, 2021</t>
  </si>
  <si>
    <t>Total 2020</t>
  </si>
  <si>
    <t>SPM Predicted</t>
  </si>
  <si>
    <t>Formula</t>
  </si>
  <si>
    <t>Sq. Ft. *</t>
  </si>
  <si>
    <t>Calculation</t>
  </si>
  <si>
    <t xml:space="preserve"> FY 2022</t>
  </si>
  <si>
    <t xml:space="preserve"> FY 2023</t>
  </si>
  <si>
    <t>UT Southwestern Medical Center</t>
  </si>
  <si>
    <t>UT Medical Branch Galveston</t>
  </si>
  <si>
    <t>UT HSC Houston</t>
  </si>
  <si>
    <t>UT HSC San Antonio</t>
  </si>
  <si>
    <t>UT M.D. Anderson Cancer Center</t>
  </si>
  <si>
    <t>UT Health Center Tyler</t>
  </si>
  <si>
    <t>University of North Texas HSC</t>
  </si>
  <si>
    <t>Texas Tech University HSC</t>
  </si>
  <si>
    <t>Texas Tech University HSC at El Paso</t>
  </si>
  <si>
    <t xml:space="preserve">* Source: Fall 2020 HRI Space Model </t>
  </si>
  <si>
    <t>Research Enhancement Formula Funding</t>
  </si>
  <si>
    <t>Base Amount Per Institution (Annual)</t>
  </si>
  <si>
    <t>FY 2020 Research Expenditures*</t>
  </si>
  <si>
    <t>Percent of Total</t>
  </si>
  <si>
    <t>Variable Amount (Annual)</t>
  </si>
  <si>
    <t>Base Fixed Formula (Annual)</t>
  </si>
  <si>
    <t xml:space="preserve">FY 2022-23  Biennium Total </t>
  </si>
  <si>
    <t>Variable Rate:</t>
  </si>
  <si>
    <t>FY 22-23 Rate:</t>
  </si>
  <si>
    <t>Rounded % Amount</t>
  </si>
  <si>
    <t xml:space="preserve"> </t>
  </si>
  <si>
    <t xml:space="preserve">Total Variable </t>
  </si>
  <si>
    <t>FY 2000-01 Rate</t>
  </si>
  <si>
    <t>* Source: FY 2020 S&amp;U Research Expenditures Summary</t>
  </si>
  <si>
    <t xml:space="preserve">Graduate Medical Education </t>
  </si>
  <si>
    <t>No. of Residents</t>
  </si>
  <si>
    <t>Institution</t>
  </si>
  <si>
    <t xml:space="preserve"> 9/1/20*</t>
  </si>
  <si>
    <t>Biennium</t>
  </si>
  <si>
    <t>% Change</t>
  </si>
  <si>
    <t>Sub-Total Public Institutions</t>
  </si>
  <si>
    <t>Baylor College of Medicine</t>
  </si>
  <si>
    <t>Total GME Formula</t>
  </si>
  <si>
    <t>* Source:  CBM 00R</t>
  </si>
  <si>
    <t>UH College of Medicine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</si>
</sst>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,##0.00%_);\(#,##0.00%\)"/>
    <numFmt numFmtId="166" formatCode="_(* #,##0.0_);_(* \(#,##0.0\);_(* &quot;-&quot;?_);_(@_)"/>
    <numFmt numFmtId="167" formatCode="_(* #,##0_);_(* \(#,##0\);_(* &quot;-&quot;??_);_(@_)"/>
    <numFmt numFmtId="168" formatCode="_(* #,##0.0_);_(* \(#,##0.0\);_(* &quot;-&quot;_);_(@_)"/>
    <numFmt numFmtId="169" formatCode="_(&quot;$&quot;* #,##0.0_);_(&quot;$&quot;* \(#,##0.0\);_(&quot;$&quot;* &quot;-&quot;_);_(@_)"/>
    <numFmt numFmtId="170" formatCode="#,##0.0%_);\(#,##0.0%\)"/>
    <numFmt numFmtId="171" formatCode="_(&quot;$&quot;* #,##0.00_);_(&quot;$&quot;* \(#,##0.00\);_(&quot;$&quot;* &quot;-&quot;_);_(@_)"/>
    <numFmt numFmtId="172" formatCode="_(&quot;$&quot;* #,##0.0_);_(&quot;$&quot;* \(#,##0.0\);_(&quot;$&quot;* &quot;-&quot;??_);_(@_)"/>
    <numFmt numFmtId="173" formatCode="0.0000000000000000%"/>
    <numFmt numFmtId="174" formatCode="000000"/>
    <numFmt numFmtId="175" formatCode="0_)"/>
    <numFmt numFmtId="176" formatCode="0.000_)"/>
    <numFmt numFmtId="177" formatCode="0.000"/>
    <numFmt numFmtId="178" formatCode="#,##0.0000"/>
    <numFmt numFmtId="179" formatCode="###,###,##0"/>
    <numFmt numFmtId="180" formatCode="###,###,##0.00"/>
    <numFmt numFmtId="181" formatCode="&quot;$&quot;#,##0.000000000000_);\(&quot;$&quot;#,##0.000000000000\)"/>
    <numFmt numFmtId="182" formatCode="_(&quot;$&quot;* #,##0.0000000000000_);_(&quot;$&quot;* \(#,##0.0000000000000\);_(&quot;$&quot;* &quot;-&quot;????????????_);_(@_)"/>
    <numFmt numFmtId="183" formatCode="0.0%"/>
    <numFmt numFmtId="184" formatCode="0.000000%"/>
    <numFmt numFmtId="185" formatCode="_(* #,##0.00000000_);_(* \(#,##0.00000000\);_(* &quot;-&quot;_);_(@_)"/>
    <numFmt numFmtId="186" formatCode="m/d/yy;@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MS Sans Serif"/>
      <family val="2"/>
    </font>
    <font>
      <i/>
      <sz val="10"/>
      <name val="System"/>
      <family val="2"/>
    </font>
    <font>
      <sz val="11"/>
      <color theme="1"/>
      <name val="Tahoma"/>
      <family val="2"/>
    </font>
    <font>
      <sz val="10"/>
      <name val="System"/>
      <family val="2"/>
    </font>
    <font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b/>
      <u/>
      <sz val="12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1"/>
      <color theme="1"/>
      <name val="Arial"/>
      <family val="2"/>
    </font>
    <font>
      <b/>
      <sz val="18"/>
      <name val="Arial"/>
      <family val="2"/>
    </font>
    <font>
      <sz val="12"/>
      <color rgb="FFFF0000"/>
      <name val="Arial"/>
      <family val="2"/>
    </font>
    <font>
      <sz val="14"/>
      <name val="Times New Roman"/>
      <family val="1"/>
    </font>
    <font>
      <sz val="12"/>
      <color theme="1"/>
      <name val="Arial"/>
      <family val="2"/>
    </font>
    <font>
      <sz val="11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6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43"/>
        <bgColor indexed="29"/>
      </patternFill>
    </fill>
    <fill>
      <patternFill patternType="solid">
        <fgColor indexed="41"/>
        <bgColor indexed="29"/>
      </patternFill>
    </fill>
    <fill>
      <patternFill patternType="solid">
        <fgColor indexed="42"/>
        <bgColor indexed="29"/>
      </patternFill>
    </fill>
    <fill>
      <patternFill patternType="solid">
        <fgColor theme="0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8" tint="0.79998168889431442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lightUp"/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64">
    <xf numFmtId="0" fontId="0" fillId="0" borderId="0">
      <alignment horizontal="left" wrapText="1"/>
    </xf>
    <xf numFmtId="0" fontId="2" fillId="0" borderId="0">
      <alignment horizontal="left" wrapText="1"/>
    </xf>
    <xf numFmtId="44" fontId="2" fillId="0" borderId="0" applyFont="0" applyFill="0" applyBorder="0" applyAlignment="0" applyProtection="0"/>
    <xf numFmtId="37" fontId="5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2" fillId="0" borderId="0"/>
    <xf numFmtId="3" fontId="2" fillId="0" borderId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1" fillId="0" borderId="0"/>
    <xf numFmtId="0" fontId="2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14" fillId="0" borderId="0"/>
    <xf numFmtId="0" fontId="16" fillId="0" borderId="0"/>
    <xf numFmtId="0" fontId="16" fillId="0" borderId="0"/>
    <xf numFmtId="0" fontId="1" fillId="0" borderId="0"/>
    <xf numFmtId="0" fontId="5" fillId="0" borderId="0"/>
    <xf numFmtId="0" fontId="44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46" fillId="0" borderId="0" applyNumberFormat="0" applyFill="0" applyBorder="0" applyAlignment="0" applyProtection="0">
      <alignment vertical="top"/>
      <protection locked="0"/>
    </xf>
  </cellStyleXfs>
  <cellXfs count="1048">
    <xf numFmtId="0" fontId="0" fillId="0" borderId="0" xfId="0" applyAlignment="1"/>
    <xf numFmtId="0" fontId="3" fillId="4" borderId="0" xfId="0" applyFont="1" applyFill="1" applyAlignment="1"/>
    <xf numFmtId="0" fontId="4" fillId="4" borderId="0" xfId="0" applyFont="1" applyFill="1" applyAlignment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37" fontId="4" fillId="3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/>
    <xf numFmtId="0" fontId="4" fillId="4" borderId="0" xfId="0" applyFont="1" applyFill="1" applyAlignment="1" applyProtection="1"/>
    <xf numFmtId="10" fontId="4" fillId="5" borderId="0" xfId="0" applyNumberFormat="1" applyFont="1" applyFill="1" applyAlignment="1"/>
    <xf numFmtId="42" fontId="4" fillId="5" borderId="6" xfId="0" applyNumberFormat="1" applyFont="1" applyFill="1" applyBorder="1" applyAlignment="1"/>
    <xf numFmtId="41" fontId="4" fillId="5" borderId="7" xfId="0" applyNumberFormat="1" applyFont="1" applyFill="1" applyBorder="1" applyAlignment="1"/>
    <xf numFmtId="41" fontId="4" fillId="5" borderId="9" xfId="0" applyNumberFormat="1" applyFont="1" applyFill="1" applyBorder="1" applyAlignment="1"/>
    <xf numFmtId="0" fontId="4" fillId="4" borderId="15" xfId="0" applyFont="1" applyFill="1" applyBorder="1" applyAlignment="1"/>
    <xf numFmtId="42" fontId="4" fillId="5" borderId="7" xfId="0" applyNumberFormat="1" applyFont="1" applyFill="1" applyBorder="1" applyAlignment="1"/>
    <xf numFmtId="42" fontId="4" fillId="5" borderId="8" xfId="0" applyNumberFormat="1" applyFont="1" applyFill="1" applyBorder="1" applyAlignment="1" applyProtection="1"/>
    <xf numFmtId="42" fontId="4" fillId="5" borderId="19" xfId="0" applyNumberFormat="1" applyFont="1" applyFill="1" applyBorder="1" applyAlignment="1" applyProtection="1"/>
    <xf numFmtId="10" fontId="4" fillId="5" borderId="9" xfId="0" applyNumberFormat="1" applyFont="1" applyFill="1" applyBorder="1" applyAlignment="1"/>
    <xf numFmtId="42" fontId="4" fillId="5" borderId="20" xfId="0" applyNumberFormat="1" applyFont="1" applyFill="1" applyBorder="1" applyAlignment="1" applyProtection="1"/>
    <xf numFmtId="42" fontId="4" fillId="5" borderId="4" xfId="0" applyNumberFormat="1" applyFont="1" applyFill="1" applyBorder="1" applyAlignment="1" applyProtection="1"/>
    <xf numFmtId="42" fontId="4" fillId="5" borderId="4" xfId="0" applyNumberFormat="1" applyFont="1" applyFill="1" applyBorder="1" applyAlignment="1"/>
    <xf numFmtId="0" fontId="4" fillId="4" borderId="10" xfId="0" applyFont="1" applyFill="1" applyBorder="1" applyAlignment="1"/>
    <xf numFmtId="10" fontId="4" fillId="3" borderId="4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/>
    <xf numFmtId="42" fontId="4" fillId="5" borderId="2" xfId="0" applyNumberFormat="1" applyFont="1" applyFill="1" applyBorder="1" applyAlignment="1"/>
    <xf numFmtId="42" fontId="4" fillId="5" borderId="3" xfId="0" applyNumberFormat="1" applyFont="1" applyFill="1" applyBorder="1" applyAlignment="1" applyProtection="1"/>
    <xf numFmtId="10" fontId="4" fillId="5" borderId="7" xfId="0" applyNumberFormat="1" applyFont="1" applyFill="1" applyBorder="1" applyAlignment="1"/>
    <xf numFmtId="0" fontId="4" fillId="4" borderId="27" xfId="0" applyFont="1" applyFill="1" applyBorder="1" applyAlignment="1"/>
    <xf numFmtId="0" fontId="4" fillId="4" borderId="4" xfId="4" applyFont="1" applyFill="1" applyBorder="1">
      <alignment horizontal="left" wrapText="1"/>
    </xf>
    <xf numFmtId="10" fontId="4" fillId="5" borderId="6" xfId="0" applyNumberFormat="1" applyFont="1" applyFill="1" applyBorder="1" applyAlignment="1">
      <alignment horizontal="center"/>
    </xf>
    <xf numFmtId="10" fontId="4" fillId="5" borderId="9" xfId="0" applyNumberFormat="1" applyFont="1" applyFill="1" applyBorder="1" applyAlignment="1" applyProtection="1"/>
    <xf numFmtId="42" fontId="4" fillId="5" borderId="6" xfId="0" applyNumberFormat="1" applyFont="1" applyFill="1" applyBorder="1" applyAlignment="1" applyProtection="1"/>
    <xf numFmtId="42" fontId="4" fillId="0" borderId="0" xfId="0" applyNumberFormat="1" applyFont="1" applyAlignment="1"/>
    <xf numFmtId="0" fontId="4" fillId="6" borderId="21" xfId="0" applyFont="1" applyFill="1" applyBorder="1" applyAlignment="1">
      <alignment wrapText="1"/>
    </xf>
    <xf numFmtId="0" fontId="4" fillId="6" borderId="27" xfId="0" applyFont="1" applyFill="1" applyBorder="1" applyAlignment="1"/>
    <xf numFmtId="42" fontId="2" fillId="2" borderId="4" xfId="0" applyNumberFormat="1" applyFont="1" applyFill="1" applyBorder="1">
      <alignment horizontal="left" wrapText="1"/>
    </xf>
    <xf numFmtId="42" fontId="2" fillId="5" borderId="4" xfId="0" applyNumberFormat="1" applyFont="1" applyFill="1" applyBorder="1">
      <alignment horizontal="left" wrapText="1"/>
    </xf>
    <xf numFmtId="42" fontId="4" fillId="2" borderId="7" xfId="0" applyNumberFormat="1" applyFont="1" applyFill="1" applyBorder="1" applyAlignment="1"/>
    <xf numFmtId="41" fontId="4" fillId="2" borderId="7" xfId="0" applyNumberFormat="1" applyFont="1" applyFill="1" applyBorder="1" applyAlignment="1"/>
    <xf numFmtId="0" fontId="4" fillId="4" borderId="17" xfId="0" applyFont="1" applyFill="1" applyBorder="1" applyAlignment="1"/>
    <xf numFmtId="42" fontId="4" fillId="5" borderId="33" xfId="0" applyNumberFormat="1" applyFont="1" applyFill="1" applyBorder="1" applyAlignment="1" applyProtection="1"/>
    <xf numFmtId="0" fontId="4" fillId="4" borderId="34" xfId="0" applyFont="1" applyFill="1" applyBorder="1" applyAlignment="1"/>
    <xf numFmtId="0" fontId="4" fillId="4" borderId="15" xfId="0" applyFont="1" applyFill="1" applyBorder="1" applyAlignment="1" applyProtection="1">
      <alignment vertical="center"/>
    </xf>
    <xf numFmtId="0" fontId="4" fillId="4" borderId="37" xfId="0" applyFont="1" applyFill="1" applyBorder="1" applyAlignment="1" applyProtection="1">
      <alignment vertical="center"/>
    </xf>
    <xf numFmtId="37" fontId="4" fillId="3" borderId="39" xfId="0" applyNumberFormat="1" applyFont="1" applyFill="1" applyBorder="1" applyAlignment="1" applyProtection="1">
      <alignment horizontal="center" vertical="center" wrapText="1"/>
    </xf>
    <xf numFmtId="0" fontId="4" fillId="7" borderId="0" xfId="0" applyFont="1" applyFill="1" applyAlignment="1" applyProtection="1">
      <alignment vertical="center"/>
    </xf>
    <xf numFmtId="0" fontId="2" fillId="4" borderId="0" xfId="0" applyFont="1" applyFill="1" applyAlignment="1"/>
    <xf numFmtId="0" fontId="4" fillId="4" borderId="12" xfId="0" applyFont="1" applyFill="1" applyBorder="1" applyAlignment="1"/>
    <xf numFmtId="42" fontId="4" fillId="0" borderId="5" xfId="0" applyNumberFormat="1" applyFont="1" applyBorder="1" applyAlignment="1"/>
    <xf numFmtId="0" fontId="2" fillId="0" borderId="0" xfId="0" applyFont="1" applyAlignment="1"/>
    <xf numFmtId="10" fontId="2" fillId="5" borderId="6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 applyProtection="1"/>
    <xf numFmtId="42" fontId="4" fillId="5" borderId="14" xfId="0" applyNumberFormat="1" applyFont="1" applyFill="1" applyBorder="1" applyAlignment="1"/>
    <xf numFmtId="0" fontId="2" fillId="4" borderId="17" xfId="0" applyFont="1" applyFill="1" applyBorder="1" applyAlignment="1"/>
    <xf numFmtId="42" fontId="4" fillId="5" borderId="5" xfId="0" applyNumberFormat="1" applyFont="1" applyFill="1" applyBorder="1" applyAlignment="1"/>
    <xf numFmtId="0" fontId="4" fillId="4" borderId="4" xfId="0" applyFont="1" applyFill="1" applyBorder="1" applyAlignment="1"/>
    <xf numFmtId="0" fontId="4" fillId="4" borderId="4" xfId="0" applyFont="1" applyFill="1" applyBorder="1" applyAlignment="1">
      <alignment wrapText="1"/>
    </xf>
    <xf numFmtId="0" fontId="2" fillId="4" borderId="0" xfId="4" applyFont="1" applyFill="1" applyBorder="1">
      <alignment horizontal="left" wrapText="1"/>
    </xf>
    <xf numFmtId="0" fontId="2" fillId="4" borderId="15" xfId="4" applyFont="1" applyFill="1" applyBorder="1">
      <alignment horizontal="left" wrapText="1"/>
    </xf>
    <xf numFmtId="37" fontId="2" fillId="3" borderId="13" xfId="0" applyNumberFormat="1" applyFont="1" applyFill="1" applyBorder="1" applyAlignment="1" applyProtection="1">
      <alignment horizontal="center" vertical="center" wrapText="1"/>
    </xf>
    <xf numFmtId="37" fontId="2" fillId="3" borderId="4" xfId="0" applyNumberFormat="1" applyFont="1" applyFill="1" applyBorder="1" applyAlignment="1" applyProtection="1">
      <alignment horizontal="center" vertical="center" wrapText="1"/>
    </xf>
    <xf numFmtId="164" fontId="4" fillId="5" borderId="7" xfId="0" applyNumberFormat="1" applyFont="1" applyFill="1" applyBorder="1" applyAlignment="1"/>
    <xf numFmtId="37" fontId="2" fillId="0" borderId="0" xfId="3" applyFont="1" applyFill="1" applyAlignment="1" applyProtection="1"/>
    <xf numFmtId="10" fontId="4" fillId="0" borderId="7" xfId="0" applyNumberFormat="1" applyFont="1" applyFill="1" applyBorder="1" applyAlignment="1" applyProtection="1"/>
    <xf numFmtId="42" fontId="4" fillId="0" borderId="0" xfId="0" applyNumberFormat="1" applyFont="1" applyFill="1" applyBorder="1" applyAlignment="1"/>
    <xf numFmtId="0" fontId="2" fillId="4" borderId="15" xfId="0" applyFont="1" applyFill="1" applyBorder="1" applyAlignment="1"/>
    <xf numFmtId="42" fontId="4" fillId="0" borderId="3" xfId="0" applyNumberFormat="1" applyFont="1" applyBorder="1" applyAlignment="1"/>
    <xf numFmtId="0" fontId="2" fillId="4" borderId="27" xfId="0" applyFont="1" applyFill="1" applyBorder="1" applyAlignment="1"/>
    <xf numFmtId="0" fontId="4" fillId="0" borderId="41" xfId="0" applyFont="1" applyBorder="1" applyAlignment="1"/>
    <xf numFmtId="165" fontId="4" fillId="4" borderId="5" xfId="0" applyNumberFormat="1" applyFont="1" applyFill="1" applyBorder="1" applyAlignment="1"/>
    <xf numFmtId="0" fontId="4" fillId="4" borderId="40" xfId="0" applyFont="1" applyFill="1" applyBorder="1" applyAlignment="1"/>
    <xf numFmtId="42" fontId="4" fillId="0" borderId="38" xfId="0" applyNumberFormat="1" applyFont="1" applyFill="1" applyBorder="1" applyAlignment="1"/>
    <xf numFmtId="37" fontId="2" fillId="0" borderId="0" xfId="0" applyNumberFormat="1" applyFont="1" applyFill="1" applyBorder="1" applyAlignment="1">
      <alignment horizontal="center"/>
    </xf>
    <xf numFmtId="42" fontId="4" fillId="0" borderId="7" xfId="0" applyNumberFormat="1" applyFont="1" applyFill="1" applyBorder="1" applyAlignment="1"/>
    <xf numFmtId="41" fontId="4" fillId="0" borderId="7" xfId="0" applyNumberFormat="1" applyFont="1" applyFill="1" applyBorder="1" applyAlignment="1"/>
    <xf numFmtId="164" fontId="4" fillId="0" borderId="0" xfId="0" applyNumberFormat="1" applyFont="1" applyAlignment="1"/>
    <xf numFmtId="42" fontId="2" fillId="0" borderId="7" xfId="0" applyNumberFormat="1" applyFont="1" applyBorder="1" applyAlignment="1"/>
    <xf numFmtId="41" fontId="2" fillId="0" borderId="7" xfId="0" applyNumberFormat="1" applyFont="1" applyBorder="1" applyAlignment="1"/>
    <xf numFmtId="41" fontId="2" fillId="0" borderId="0" xfId="0" applyNumberFormat="1" applyFont="1" applyBorder="1" applyAlignment="1"/>
    <xf numFmtId="41" fontId="2" fillId="0" borderId="9" xfId="0" applyNumberFormat="1" applyFont="1" applyBorder="1" applyAlignment="1"/>
    <xf numFmtId="42" fontId="2" fillId="0" borderId="4" xfId="0" applyNumberFormat="1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7" fontId="2" fillId="10" borderId="9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/>
    <xf numFmtId="37" fontId="4" fillId="11" borderId="4" xfId="0" applyNumberFormat="1" applyFont="1" applyFill="1" applyBorder="1" applyAlignment="1" applyProtection="1">
      <alignment horizontal="center" vertical="center" wrapText="1"/>
    </xf>
    <xf numFmtId="42" fontId="4" fillId="0" borderId="31" xfId="0" applyNumberFormat="1" applyFont="1" applyBorder="1" applyAlignment="1"/>
    <xf numFmtId="42" fontId="2" fillId="0" borderId="0" xfId="0" applyNumberFormat="1" applyFont="1" applyFill="1" applyBorder="1" applyAlignment="1"/>
    <xf numFmtId="37" fontId="2" fillId="0" borderId="0" xfId="3" applyFont="1" applyBorder="1" applyAlignment="1" applyProtection="1"/>
    <xf numFmtId="10" fontId="4" fillId="5" borderId="0" xfId="0" applyNumberFormat="1" applyFont="1" applyFill="1" applyBorder="1" applyAlignment="1" applyProtection="1"/>
    <xf numFmtId="41" fontId="2" fillId="0" borderId="0" xfId="0" applyNumberFormat="1" applyFont="1" applyFill="1" applyAlignment="1">
      <alignment horizontal="right"/>
    </xf>
    <xf numFmtId="0" fontId="4" fillId="11" borderId="40" xfId="0" applyFont="1" applyFill="1" applyBorder="1" applyAlignment="1"/>
    <xf numFmtId="172" fontId="4" fillId="11" borderId="31" xfId="2" applyNumberFormat="1" applyFont="1" applyFill="1" applyBorder="1" applyAlignment="1"/>
    <xf numFmtId="172" fontId="4" fillId="11" borderId="43" xfId="2" applyNumberFormat="1" applyFont="1" applyFill="1" applyBorder="1" applyAlignment="1"/>
    <xf numFmtId="170" fontId="4" fillId="4" borderId="3" xfId="0" applyNumberFormat="1" applyFont="1" applyFill="1" applyBorder="1" applyAlignment="1"/>
    <xf numFmtId="170" fontId="4" fillId="4" borderId="4" xfId="0" applyNumberFormat="1" applyFont="1" applyFill="1" applyBorder="1" applyAlignment="1"/>
    <xf numFmtId="170" fontId="4" fillId="4" borderId="11" xfId="0" applyNumberFormat="1" applyFont="1" applyFill="1" applyBorder="1" applyAlignment="1"/>
    <xf numFmtId="170" fontId="4" fillId="0" borderId="3" xfId="6" applyNumberFormat="1" applyFont="1" applyBorder="1" applyAlignment="1"/>
    <xf numFmtId="170" fontId="4" fillId="11" borderId="31" xfId="0" applyNumberFormat="1" applyFont="1" applyFill="1" applyBorder="1" applyAlignment="1"/>
    <xf numFmtId="170" fontId="4" fillId="4" borderId="5" xfId="0" applyNumberFormat="1" applyFont="1" applyFill="1" applyBorder="1" applyAlignment="1"/>
    <xf numFmtId="43" fontId="4" fillId="2" borderId="4" xfId="0" applyNumberFormat="1" applyFont="1" applyFill="1" applyBorder="1" applyAlignment="1"/>
    <xf numFmtId="4" fontId="4" fillId="10" borderId="4" xfId="0" applyNumberFormat="1" applyFont="1" applyFill="1" applyBorder="1" applyAlignment="1"/>
    <xf numFmtId="37" fontId="2" fillId="0" borderId="2" xfId="3" applyFont="1" applyBorder="1" applyAlignment="1" applyProtection="1"/>
    <xf numFmtId="0" fontId="4" fillId="4" borderId="2" xfId="4" applyFont="1" applyFill="1" applyBorder="1">
      <alignment horizontal="left" wrapText="1"/>
    </xf>
    <xf numFmtId="37" fontId="2" fillId="0" borderId="24" xfId="0" applyNumberFormat="1" applyFont="1" applyFill="1" applyBorder="1" applyAlignment="1">
      <alignment horizontal="center"/>
    </xf>
    <xf numFmtId="42" fontId="2" fillId="0" borderId="24" xfId="0" applyNumberFormat="1" applyFont="1" applyFill="1" applyBorder="1" applyAlignment="1"/>
    <xf numFmtId="41" fontId="2" fillId="0" borderId="24" xfId="0" applyNumberFormat="1" applyFont="1" applyFill="1" applyBorder="1" applyAlignment="1"/>
    <xf numFmtId="42" fontId="2" fillId="0" borderId="21" xfId="0" applyNumberFormat="1" applyFont="1" applyFill="1" applyBorder="1" applyAlignment="1"/>
    <xf numFmtId="42" fontId="2" fillId="0" borderId="23" xfId="0" applyNumberFormat="1" applyFont="1" applyFill="1" applyBorder="1" applyAlignment="1"/>
    <xf numFmtId="41" fontId="2" fillId="0" borderId="52" xfId="0" applyNumberFormat="1" applyFont="1" applyFill="1" applyBorder="1" applyAlignment="1"/>
    <xf numFmtId="0" fontId="4" fillId="4" borderId="9" xfId="0" applyFont="1" applyFill="1" applyBorder="1" applyAlignment="1">
      <alignment wrapText="1"/>
    </xf>
    <xf numFmtId="42" fontId="4" fillId="5" borderId="9" xfId="0" applyNumberFormat="1" applyFont="1" applyFill="1" applyBorder="1" applyAlignment="1"/>
    <xf numFmtId="42" fontId="4" fillId="0" borderId="6" xfId="0" applyNumberFormat="1" applyFont="1" applyFill="1" applyBorder="1" applyAlignment="1"/>
    <xf numFmtId="42" fontId="2" fillId="0" borderId="22" xfId="0" applyNumberFormat="1" applyFont="1" applyFill="1" applyBorder="1" applyAlignment="1"/>
    <xf numFmtId="41" fontId="4" fillId="2" borderId="9" xfId="0" applyNumberFormat="1" applyFont="1" applyFill="1" applyBorder="1" applyAlignment="1"/>
    <xf numFmtId="41" fontId="4" fillId="0" borderId="9" xfId="0" applyNumberFormat="1" applyFont="1" applyFill="1" applyBorder="1" applyAlignment="1"/>
    <xf numFmtId="41" fontId="2" fillId="0" borderId="27" xfId="0" applyNumberFormat="1" applyFont="1" applyFill="1" applyBorder="1" applyAlignment="1"/>
    <xf numFmtId="41" fontId="2" fillId="0" borderId="28" xfId="0" applyNumberFormat="1" applyFont="1" applyFill="1" applyBorder="1" applyAlignment="1"/>
    <xf numFmtId="0" fontId="4" fillId="0" borderId="3" xfId="0" applyFont="1" applyBorder="1" applyAlignment="1"/>
    <xf numFmtId="0" fontId="7" fillId="0" borderId="48" xfId="7" applyFont="1" applyBorder="1"/>
    <xf numFmtId="0" fontId="8" fillId="0" borderId="48" xfId="7" applyFont="1" applyBorder="1" applyAlignment="1">
      <alignment horizontal="left" indent="1"/>
    </xf>
    <xf numFmtId="0" fontId="8" fillId="0" borderId="48" xfId="7" applyFont="1" applyBorder="1" applyAlignment="1">
      <alignment horizontal="left" wrapText="1" indent="1"/>
    </xf>
    <xf numFmtId="0" fontId="8" fillId="0" borderId="49" xfId="7" applyFont="1" applyBorder="1" applyAlignment="1">
      <alignment horizontal="left" wrapText="1" indent="1"/>
    </xf>
    <xf numFmtId="0" fontId="8" fillId="0" borderId="0" xfId="7" applyFont="1" applyBorder="1" applyAlignment="1">
      <alignment horizontal="left" wrapText="1" indent="1"/>
    </xf>
    <xf numFmtId="167" fontId="4" fillId="0" borderId="0" xfId="51" applyNumberFormat="1" applyFont="1" applyAlignment="1"/>
    <xf numFmtId="171" fontId="4" fillId="0" borderId="0" xfId="0" applyNumberFormat="1" applyFont="1" applyAlignment="1"/>
    <xf numFmtId="10" fontId="4" fillId="0" borderId="0" xfId="0" applyNumberFormat="1" applyFont="1" applyAlignment="1"/>
    <xf numFmtId="170" fontId="2" fillId="4" borderId="53" xfId="0" applyNumberFormat="1" applyFont="1" applyFill="1" applyBorder="1" applyAlignment="1"/>
    <xf numFmtId="42" fontId="4" fillId="0" borderId="5" xfId="0" applyNumberFormat="1" applyFont="1" applyFill="1" applyBorder="1" applyAlignment="1"/>
    <xf numFmtId="42" fontId="2" fillId="0" borderId="5" xfId="0" applyNumberFormat="1" applyFont="1" applyFill="1" applyBorder="1" applyAlignment="1"/>
    <xf numFmtId="0" fontId="2" fillId="4" borderId="0" xfId="0" applyFont="1" applyFill="1" applyBorder="1" applyAlignment="1"/>
    <xf numFmtId="169" fontId="2" fillId="0" borderId="0" xfId="0" applyNumberFormat="1" applyFont="1" applyBorder="1" applyAlignment="1"/>
    <xf numFmtId="41" fontId="4" fillId="0" borderId="0" xfId="0" applyNumberFormat="1" applyFont="1" applyBorder="1" applyAlignment="1"/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Continuous"/>
    </xf>
    <xf numFmtId="42" fontId="2" fillId="0" borderId="0" xfId="0" applyNumberFormat="1" applyFont="1" applyAlignment="1"/>
    <xf numFmtId="15" fontId="4" fillId="0" borderId="0" xfId="0" applyNumberFormat="1" applyFont="1" applyAlignment="1" applyProtection="1">
      <alignment horizontal="center"/>
    </xf>
    <xf numFmtId="0" fontId="2" fillId="0" borderId="0" xfId="0" applyFont="1" applyAlignment="1">
      <alignment vertical="center"/>
    </xf>
    <xf numFmtId="0" fontId="2" fillId="4" borderId="0" xfId="0" applyFont="1" applyFill="1" applyAlignment="1">
      <alignment vertical="center"/>
    </xf>
    <xf numFmtId="0" fontId="2" fillId="0" borderId="0" xfId="0" applyFont="1" applyAlignment="1" applyProtection="1">
      <alignment vertical="center"/>
    </xf>
    <xf numFmtId="42" fontId="2" fillId="2" borderId="0" xfId="0" applyNumberFormat="1" applyFont="1" applyFill="1" applyAlignment="1"/>
    <xf numFmtId="42" fontId="2" fillId="0" borderId="0" xfId="0" applyNumberFormat="1" applyFont="1" applyFill="1" applyAlignment="1"/>
    <xf numFmtId="170" fontId="2" fillId="4" borderId="0" xfId="0" applyNumberFormat="1" applyFont="1" applyFill="1" applyAlignment="1"/>
    <xf numFmtId="42" fontId="2" fillId="4" borderId="0" xfId="0" applyNumberFormat="1" applyFont="1" applyFill="1" applyAlignment="1"/>
    <xf numFmtId="41" fontId="2" fillId="2" borderId="0" xfId="0" applyNumberFormat="1" applyFont="1" applyFill="1" applyAlignment="1"/>
    <xf numFmtId="41" fontId="2" fillId="0" borderId="0" xfId="0" applyNumberFormat="1" applyFont="1" applyFill="1" applyAlignment="1"/>
    <xf numFmtId="41" fontId="2" fillId="4" borderId="0" xfId="0" applyNumberFormat="1" applyFont="1" applyFill="1" applyAlignment="1"/>
    <xf numFmtId="41" fontId="2" fillId="0" borderId="0" xfId="0" applyNumberFormat="1" applyFont="1" applyAlignment="1"/>
    <xf numFmtId="41" fontId="2" fillId="0" borderId="2" xfId="0" applyNumberFormat="1" applyFont="1" applyFill="1" applyBorder="1" applyAlignment="1"/>
    <xf numFmtId="42" fontId="2" fillId="2" borderId="1" xfId="0" applyNumberFormat="1" applyFont="1" applyFill="1" applyBorder="1" applyAlignment="1" applyProtection="1"/>
    <xf numFmtId="42" fontId="2" fillId="0" borderId="47" xfId="0" applyNumberFormat="1" applyFont="1" applyFill="1" applyBorder="1" applyAlignment="1" applyProtection="1"/>
    <xf numFmtId="41" fontId="2" fillId="4" borderId="3" xfId="0" applyNumberFormat="1" applyFont="1" applyFill="1" applyBorder="1" applyAlignment="1"/>
    <xf numFmtId="9" fontId="2" fillId="0" borderId="0" xfId="0" applyNumberFormat="1" applyFont="1" applyAlignment="1"/>
    <xf numFmtId="10" fontId="2" fillId="2" borderId="0" xfId="0" applyNumberFormat="1" applyFont="1" applyFill="1" applyAlignment="1"/>
    <xf numFmtId="10" fontId="2" fillId="0" borderId="0" xfId="0" applyNumberFormat="1" applyFont="1" applyFill="1" applyAlignment="1"/>
    <xf numFmtId="170" fontId="2" fillId="0" borderId="0" xfId="0" applyNumberFormat="1" applyFont="1" applyAlignment="1"/>
    <xf numFmtId="165" fontId="2" fillId="2" borderId="0" xfId="0" applyNumberFormat="1" applyFont="1" applyFill="1" applyAlignment="1"/>
    <xf numFmtId="10" fontId="2" fillId="0" borderId="0" xfId="0" applyNumberFormat="1" applyFont="1" applyAlignment="1"/>
    <xf numFmtId="42" fontId="2" fillId="0" borderId="0" xfId="0" applyNumberFormat="1" applyFont="1" applyFill="1" applyBorder="1" applyAlignment="1">
      <alignment horizontal="right"/>
    </xf>
    <xf numFmtId="170" fontId="2" fillId="4" borderId="4" xfId="0" applyNumberFormat="1" applyFont="1" applyFill="1" applyBorder="1" applyAlignment="1"/>
    <xf numFmtId="9" fontId="2" fillId="0" borderId="0" xfId="6" applyFont="1" applyAlignment="1"/>
    <xf numFmtId="44" fontId="2" fillId="0" borderId="2" xfId="3" applyNumberFormat="1" applyFont="1" applyFill="1" applyBorder="1" applyProtection="1"/>
    <xf numFmtId="37" fontId="2" fillId="0" borderId="0" xfId="0" applyNumberFormat="1" applyFont="1" applyFill="1" applyBorder="1" applyAlignment="1">
      <alignment horizontal="right"/>
    </xf>
    <xf numFmtId="42" fontId="2" fillId="0" borderId="0" xfId="0" applyNumberFormat="1" applyFont="1" applyBorder="1" applyAlignment="1"/>
    <xf numFmtId="0" fontId="2" fillId="0" borderId="0" xfId="0" applyFont="1" applyBorder="1" applyAlignment="1"/>
    <xf numFmtId="170" fontId="2" fillId="4" borderId="14" xfId="0" applyNumberFormat="1" applyFont="1" applyFill="1" applyBorder="1" applyAlignment="1"/>
    <xf numFmtId="41" fontId="2" fillId="4" borderId="44" xfId="0" applyNumberFormat="1" applyFont="1" applyFill="1" applyBorder="1" applyAlignment="1"/>
    <xf numFmtId="170" fontId="2" fillId="4" borderId="0" xfId="0" applyNumberFormat="1" applyFont="1" applyFill="1" applyBorder="1" applyAlignment="1"/>
    <xf numFmtId="41" fontId="2" fillId="4" borderId="45" xfId="0" applyNumberFormat="1" applyFont="1" applyFill="1" applyBorder="1" applyAlignment="1"/>
    <xf numFmtId="42" fontId="2" fillId="0" borderId="31" xfId="0" applyNumberFormat="1" applyFont="1" applyBorder="1" applyAlignment="1"/>
    <xf numFmtId="0" fontId="2" fillId="0" borderId="31" xfId="0" applyFont="1" applyBorder="1" applyAlignment="1"/>
    <xf numFmtId="170" fontId="2" fillId="4" borderId="32" xfId="0" applyNumberFormat="1" applyFont="1" applyFill="1" applyBorder="1" applyAlignment="1"/>
    <xf numFmtId="42" fontId="2" fillId="0" borderId="50" xfId="0" applyNumberFormat="1" applyFont="1" applyBorder="1" applyAlignment="1"/>
    <xf numFmtId="10" fontId="2" fillId="2" borderId="9" xfId="0" applyNumberFormat="1" applyFont="1" applyFill="1" applyBorder="1" applyAlignment="1"/>
    <xf numFmtId="42" fontId="2" fillId="2" borderId="51" xfId="0" applyNumberFormat="1" applyFont="1" applyFill="1" applyBorder="1" applyAlignment="1" applyProtection="1"/>
    <xf numFmtId="42" fontId="2" fillId="0" borderId="1" xfId="0" applyNumberFormat="1" applyFont="1" applyFill="1" applyBorder="1" applyAlignment="1" applyProtection="1"/>
    <xf numFmtId="10" fontId="2" fillId="2" borderId="4" xfId="0" applyNumberFormat="1" applyFont="1" applyFill="1" applyBorder="1" applyAlignment="1"/>
    <xf numFmtId="10" fontId="2" fillId="2" borderId="6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/>
    <xf numFmtId="3" fontId="2" fillId="10" borderId="9" xfId="0" applyNumberFormat="1" applyFont="1" applyFill="1" applyBorder="1" applyAlignment="1"/>
    <xf numFmtId="44" fontId="2" fillId="2" borderId="6" xfId="3" applyNumberFormat="1" applyFont="1" applyFill="1" applyBorder="1" applyProtection="1"/>
    <xf numFmtId="44" fontId="2" fillId="0" borderId="23" xfId="3" applyNumberFormat="1" applyFont="1" applyFill="1" applyBorder="1" applyProtection="1"/>
    <xf numFmtId="44" fontId="2" fillId="0" borderId="0" xfId="3" applyNumberFormat="1" applyFont="1" applyFill="1" applyBorder="1" applyProtection="1"/>
    <xf numFmtId="44" fontId="2" fillId="5" borderId="6" xfId="3" applyNumberFormat="1" applyFont="1" applyFill="1" applyBorder="1" applyAlignment="1" applyProtection="1"/>
    <xf numFmtId="170" fontId="2" fillId="4" borderId="6" xfId="0" applyNumberFormat="1" applyFont="1" applyFill="1" applyBorder="1" applyAlignment="1"/>
    <xf numFmtId="44" fontId="2" fillId="4" borderId="0" xfId="0" applyNumberFormat="1" applyFont="1" applyFill="1" applyAlignment="1"/>
    <xf numFmtId="44" fontId="2" fillId="5" borderId="6" xfId="3" applyNumberFormat="1" applyFont="1" applyFill="1" applyBorder="1" applyProtection="1"/>
    <xf numFmtId="173" fontId="2" fillId="0" borderId="0" xfId="0" applyNumberFormat="1" applyFont="1" applyAlignment="1"/>
    <xf numFmtId="44" fontId="2" fillId="2" borderId="4" xfId="3" applyNumberFormat="1" applyFont="1" applyFill="1" applyBorder="1" applyProtection="1"/>
    <xf numFmtId="44" fontId="2" fillId="0" borderId="28" xfId="3" applyNumberFormat="1" applyFont="1" applyFill="1" applyBorder="1" applyProtection="1"/>
    <xf numFmtId="44" fontId="2" fillId="5" borderId="46" xfId="3" applyNumberFormat="1" applyFont="1" applyFill="1" applyBorder="1" applyAlignment="1" applyProtection="1">
      <alignment vertical="top"/>
    </xf>
    <xf numFmtId="170" fontId="2" fillId="4" borderId="46" xfId="0" applyNumberFormat="1" applyFont="1" applyFill="1" applyBorder="1" applyAlignment="1"/>
    <xf numFmtId="44" fontId="2" fillId="5" borderId="7" xfId="0" applyNumberFormat="1" applyFont="1" applyFill="1" applyBorder="1" applyAlignment="1"/>
    <xf numFmtId="42" fontId="2" fillId="0" borderId="14" xfId="0" applyNumberFormat="1" applyFont="1" applyBorder="1" applyAlignment="1"/>
    <xf numFmtId="44" fontId="2" fillId="2" borderId="0" xfId="3" applyNumberFormat="1" applyFont="1" applyFill="1" applyBorder="1" applyProtection="1"/>
    <xf numFmtId="44" fontId="2" fillId="5" borderId="0" xfId="0" applyNumberFormat="1" applyFont="1" applyFill="1" applyBorder="1" applyAlignment="1"/>
    <xf numFmtId="165" fontId="2" fillId="4" borderId="0" xfId="0" applyNumberFormat="1" applyFont="1" applyFill="1" applyBorder="1" applyAlignment="1"/>
    <xf numFmtId="44" fontId="2" fillId="4" borderId="0" xfId="0" applyNumberFormat="1" applyFont="1" applyFill="1" applyBorder="1" applyAlignment="1"/>
    <xf numFmtId="9" fontId="2" fillId="0" borderId="0" xfId="6" applyFont="1" applyBorder="1" applyAlignment="1"/>
    <xf numFmtId="0" fontId="2" fillId="0" borderId="0" xfId="0" applyFont="1" applyFill="1" applyAlignment="1"/>
    <xf numFmtId="44" fontId="2" fillId="0" borderId="9" xfId="3" applyNumberFormat="1" applyFont="1" applyFill="1" applyBorder="1" applyProtection="1"/>
    <xf numFmtId="44" fontId="2" fillId="0" borderId="9" xfId="0" applyNumberFormat="1" applyFont="1" applyFill="1" applyBorder="1" applyAlignment="1"/>
    <xf numFmtId="165" fontId="2" fillId="0" borderId="0" xfId="0" applyNumberFormat="1" applyFont="1" applyFill="1" applyAlignment="1"/>
    <xf numFmtId="44" fontId="2" fillId="0" borderId="0" xfId="0" applyNumberFormat="1" applyFont="1" applyFill="1" applyAlignment="1"/>
    <xf numFmtId="10" fontId="2" fillId="2" borderId="0" xfId="0" applyNumberFormat="1" applyFont="1" applyFill="1" applyBorder="1" applyAlignment="1"/>
    <xf numFmtId="10" fontId="2" fillId="0" borderId="0" xfId="0" applyNumberFormat="1" applyFont="1" applyFill="1" applyBorder="1" applyAlignment="1"/>
    <xf numFmtId="170" fontId="2" fillId="0" borderId="0" xfId="0" applyNumberFormat="1" applyFont="1" applyBorder="1" applyAlignment="1"/>
    <xf numFmtId="170" fontId="2" fillId="0" borderId="3" xfId="0" applyNumberFormat="1" applyFont="1" applyBorder="1" applyAlignment="1"/>
    <xf numFmtId="10" fontId="2" fillId="0" borderId="3" xfId="0" applyNumberFormat="1" applyFont="1" applyBorder="1" applyAlignment="1"/>
    <xf numFmtId="42" fontId="2" fillId="2" borderId="6" xfId="0" applyNumberFormat="1" applyFont="1" applyFill="1" applyBorder="1" applyAlignment="1" applyProtection="1"/>
    <xf numFmtId="44" fontId="2" fillId="0" borderId="0" xfId="0" applyNumberFormat="1" applyFont="1" applyAlignment="1"/>
    <xf numFmtId="0" fontId="2" fillId="4" borderId="28" xfId="0" applyFont="1" applyFill="1" applyBorder="1" applyAlignment="1"/>
    <xf numFmtId="10" fontId="2" fillId="2" borderId="9" xfId="0" applyNumberFormat="1" applyFont="1" applyFill="1" applyBorder="1" applyAlignment="1" applyProtection="1"/>
    <xf numFmtId="42" fontId="2" fillId="0" borderId="2" xfId="0" applyNumberFormat="1" applyFont="1" applyFill="1" applyBorder="1" applyAlignment="1">
      <alignment horizontal="right"/>
    </xf>
    <xf numFmtId="10" fontId="2" fillId="4" borderId="0" xfId="6" applyNumberFormat="1" applyFont="1" applyFill="1" applyAlignment="1"/>
    <xf numFmtId="0" fontId="2" fillId="0" borderId="14" xfId="0" applyFont="1" applyBorder="1" applyAlignment="1"/>
    <xf numFmtId="10" fontId="2" fillId="2" borderId="0" xfId="0" applyNumberFormat="1" applyFont="1" applyFill="1" applyBorder="1" applyAlignment="1" applyProtection="1"/>
    <xf numFmtId="165" fontId="2" fillId="4" borderId="26" xfId="0" applyNumberFormat="1" applyFont="1" applyFill="1" applyBorder="1" applyAlignment="1"/>
    <xf numFmtId="10" fontId="2" fillId="0" borderId="0" xfId="0" applyNumberFormat="1" applyFont="1" applyFill="1" applyBorder="1" applyAlignment="1" applyProtection="1"/>
    <xf numFmtId="165" fontId="2" fillId="0" borderId="26" xfId="0" applyNumberFormat="1" applyFont="1" applyFill="1" applyBorder="1" applyAlignment="1"/>
    <xf numFmtId="42" fontId="2" fillId="0" borderId="26" xfId="0" applyNumberFormat="1" applyFont="1" applyBorder="1" applyAlignment="1"/>
    <xf numFmtId="42" fontId="2" fillId="4" borderId="26" xfId="0" applyNumberFormat="1" applyFont="1" applyFill="1" applyBorder="1" applyAlignment="1"/>
    <xf numFmtId="10" fontId="2" fillId="0" borderId="2" xfId="0" applyNumberFormat="1" applyFont="1" applyBorder="1" applyAlignment="1"/>
    <xf numFmtId="41" fontId="2" fillId="4" borderId="2" xfId="0" applyNumberFormat="1" applyFont="1" applyFill="1" applyBorder="1" applyAlignment="1"/>
    <xf numFmtId="0" fontId="2" fillId="0" borderId="5" xfId="0" applyFont="1" applyBorder="1" applyAlignment="1"/>
    <xf numFmtId="0" fontId="2" fillId="5" borderId="6" xfId="0" applyFont="1" applyFill="1" applyBorder="1" applyAlignment="1"/>
    <xf numFmtId="0" fontId="4" fillId="4" borderId="12" xfId="0" applyFont="1" applyFill="1" applyBorder="1" applyAlignment="1" applyProtection="1">
      <alignment vertical="center" wrapText="1"/>
    </xf>
    <xf numFmtId="42" fontId="2" fillId="2" borderId="0" xfId="0" applyNumberFormat="1" applyFont="1" applyFill="1" applyBorder="1" applyAlignment="1"/>
    <xf numFmtId="42" fontId="2" fillId="4" borderId="0" xfId="0" applyNumberFormat="1" applyFont="1" applyFill="1" applyBorder="1" applyAlignment="1"/>
    <xf numFmtId="41" fontId="2" fillId="2" borderId="0" xfId="0" applyNumberFormat="1" applyFont="1" applyFill="1" applyBorder="1" applyAlignment="1"/>
    <xf numFmtId="41" fontId="2" fillId="0" borderId="0" xfId="0" applyNumberFormat="1" applyFont="1" applyFill="1" applyBorder="1" applyAlignment="1"/>
    <xf numFmtId="41" fontId="2" fillId="4" borderId="0" xfId="0" applyNumberFormat="1" applyFont="1" applyFill="1" applyBorder="1" applyAlignment="1"/>
    <xf numFmtId="170" fontId="2" fillId="4" borderId="0" xfId="0" applyNumberFormat="1" applyFont="1" applyFill="1" applyAlignment="1">
      <alignment horizontal="right"/>
    </xf>
    <xf numFmtId="42" fontId="2" fillId="2" borderId="30" xfId="0" applyNumberFormat="1" applyFont="1" applyFill="1" applyBorder="1" applyAlignment="1" applyProtection="1"/>
    <xf numFmtId="42" fontId="2" fillId="0" borderId="30" xfId="0" applyNumberFormat="1" applyFont="1" applyFill="1" applyBorder="1" applyAlignment="1" applyProtection="1"/>
    <xf numFmtId="170" fontId="2" fillId="4" borderId="3" xfId="0" applyNumberFormat="1" applyFont="1" applyFill="1" applyBorder="1" applyAlignment="1"/>
    <xf numFmtId="0" fontId="2" fillId="0" borderId="41" xfId="0" applyFont="1" applyBorder="1" applyAlignment="1"/>
    <xf numFmtId="170" fontId="2" fillId="0" borderId="5" xfId="0" applyNumberFormat="1" applyFont="1" applyBorder="1" applyAlignment="1"/>
    <xf numFmtId="10" fontId="2" fillId="0" borderId="5" xfId="0" applyNumberFormat="1" applyFont="1" applyBorder="1" applyAlignment="1"/>
    <xf numFmtId="10" fontId="2" fillId="0" borderId="0" xfId="0" applyNumberFormat="1" applyFont="1" applyBorder="1" applyAlignment="1"/>
    <xf numFmtId="0" fontId="2" fillId="4" borderId="21" xfId="4" applyFont="1" applyFill="1" applyBorder="1">
      <alignment horizontal="left" wrapText="1"/>
    </xf>
    <xf numFmtId="42" fontId="2" fillId="4" borderId="6" xfId="0" applyNumberFormat="1" applyFont="1" applyFill="1" applyBorder="1" applyAlignment="1"/>
    <xf numFmtId="164" fontId="2" fillId="0" borderId="0" xfId="2" applyNumberFormat="1" applyFont="1"/>
    <xf numFmtId="0" fontId="2" fillId="4" borderId="23" xfId="4" applyFont="1" applyFill="1" applyBorder="1">
      <alignment horizontal="left" wrapText="1"/>
    </xf>
    <xf numFmtId="41" fontId="2" fillId="4" borderId="7" xfId="0" applyNumberFormat="1" applyFont="1" applyFill="1" applyBorder="1" applyAlignment="1"/>
    <xf numFmtId="41" fontId="2" fillId="0" borderId="0" xfId="6" applyNumberFormat="1" applyFont="1"/>
    <xf numFmtId="10" fontId="2" fillId="0" borderId="0" xfId="6" applyNumberFormat="1" applyFont="1"/>
    <xf numFmtId="0" fontId="2" fillId="4" borderId="7" xfId="4" applyFont="1" applyFill="1" applyBorder="1">
      <alignment horizontal="left" wrapText="1"/>
    </xf>
    <xf numFmtId="42" fontId="2" fillId="4" borderId="9" xfId="0" applyNumberFormat="1" applyFont="1" applyFill="1" applyBorder="1" applyAlignment="1"/>
    <xf numFmtId="42" fontId="2" fillId="2" borderId="4" xfId="0" applyNumberFormat="1" applyFont="1" applyFill="1" applyBorder="1" applyAlignment="1" applyProtection="1"/>
    <xf numFmtId="42" fontId="2" fillId="0" borderId="25" xfId="0" applyNumberFormat="1" applyFont="1" applyFill="1" applyBorder="1" applyAlignment="1" applyProtection="1"/>
    <xf numFmtId="42" fontId="2" fillId="0" borderId="35" xfId="0" applyNumberFormat="1" applyFont="1" applyFill="1" applyBorder="1" applyAlignment="1" applyProtection="1"/>
    <xf numFmtId="42" fontId="2" fillId="2" borderId="6" xfId="0" applyNumberFormat="1" applyFont="1" applyFill="1" applyBorder="1" applyAlignment="1"/>
    <xf numFmtId="41" fontId="2" fillId="2" borderId="7" xfId="0" applyNumberFormat="1" applyFont="1" applyFill="1" applyBorder="1" applyAlignment="1"/>
    <xf numFmtId="41" fontId="2" fillId="2" borderId="9" xfId="0" applyNumberFormat="1" applyFont="1" applyFill="1" applyBorder="1" applyAlignment="1"/>
    <xf numFmtId="42" fontId="2" fillId="2" borderId="47" xfId="0" applyNumberFormat="1" applyFont="1" applyFill="1" applyBorder="1" applyAlignment="1" applyProtection="1"/>
    <xf numFmtId="42" fontId="2" fillId="2" borderId="3" xfId="0" applyNumberFormat="1" applyFont="1" applyFill="1" applyBorder="1" applyAlignment="1"/>
    <xf numFmtId="42" fontId="2" fillId="0" borderId="3" xfId="0" applyNumberFormat="1" applyFont="1" applyFill="1" applyBorder="1" applyAlignment="1"/>
    <xf numFmtId="42" fontId="2" fillId="4" borderId="3" xfId="0" applyNumberFormat="1" applyFont="1" applyFill="1" applyBorder="1" applyAlignment="1"/>
    <xf numFmtId="10" fontId="2" fillId="4" borderId="0" xfId="0" applyNumberFormat="1" applyFont="1" applyFill="1" applyBorder="1" applyAlignment="1"/>
    <xf numFmtId="42" fontId="2" fillId="2" borderId="14" xfId="0" applyNumberFormat="1" applyFont="1" applyFill="1" applyBorder="1" applyAlignment="1"/>
    <xf numFmtId="42" fontId="2" fillId="0" borderId="14" xfId="0" applyNumberFormat="1" applyFont="1" applyFill="1" applyBorder="1" applyAlignment="1"/>
    <xf numFmtId="42" fontId="2" fillId="4" borderId="42" xfId="0" applyNumberFormat="1" applyFont="1" applyFill="1" applyBorder="1" applyAlignment="1"/>
    <xf numFmtId="41" fontId="2" fillId="2" borderId="6" xfId="0" applyNumberFormat="1" applyFont="1" applyFill="1" applyBorder="1" applyAlignment="1"/>
    <xf numFmtId="37" fontId="2" fillId="0" borderId="0" xfId="0" applyNumberFormat="1" applyFont="1" applyFill="1" applyBorder="1" applyAlignment="1"/>
    <xf numFmtId="44" fontId="2" fillId="0" borderId="0" xfId="3" applyNumberFormat="1" applyFont="1" applyFill="1" applyBorder="1" applyAlignment="1" applyProtection="1">
      <alignment horizontal="right"/>
    </xf>
    <xf numFmtId="37" fontId="2" fillId="10" borderId="6" xfId="0" applyNumberFormat="1" applyFont="1" applyFill="1" applyBorder="1" applyAlignment="1"/>
    <xf numFmtId="37" fontId="2" fillId="4" borderId="16" xfId="0" applyNumberFormat="1" applyFont="1" applyFill="1" applyBorder="1" applyAlignment="1"/>
    <xf numFmtId="41" fontId="2" fillId="2" borderId="9" xfId="0" applyNumberFormat="1" applyFont="1" applyFill="1" applyBorder="1" applyAlignment="1">
      <alignment horizontal="center"/>
    </xf>
    <xf numFmtId="10" fontId="2" fillId="4" borderId="16" xfId="0" applyNumberFormat="1" applyFont="1" applyFill="1" applyBorder="1" applyAlignment="1"/>
    <xf numFmtId="41" fontId="2" fillId="2" borderId="43" xfId="0" applyNumberFormat="1" applyFont="1" applyFill="1" applyBorder="1" applyAlignment="1"/>
    <xf numFmtId="42" fontId="2" fillId="4" borderId="18" xfId="0" applyNumberFormat="1" applyFont="1" applyFill="1" applyBorder="1" applyAlignment="1"/>
    <xf numFmtId="0" fontId="4" fillId="4" borderId="4" xfId="0" applyFont="1" applyFill="1" applyBorder="1" applyAlignment="1" applyProtection="1">
      <alignment vertical="center"/>
    </xf>
    <xf numFmtId="0" fontId="4" fillId="4" borderId="40" xfId="0" applyFont="1" applyFill="1" applyBorder="1" applyAlignment="1">
      <alignment wrapText="1"/>
    </xf>
    <xf numFmtId="42" fontId="2" fillId="4" borderId="3" xfId="0" applyNumberFormat="1" applyFont="1" applyFill="1" applyBorder="1" applyAlignment="1" applyProtection="1"/>
    <xf numFmtId="170" fontId="2" fillId="4" borderId="31" xfId="0" applyNumberFormat="1" applyFont="1" applyFill="1" applyBorder="1" applyAlignment="1"/>
    <xf numFmtId="42" fontId="2" fillId="4" borderId="43" xfId="0" applyNumberFormat="1" applyFont="1" applyFill="1" applyBorder="1" applyAlignment="1"/>
    <xf numFmtId="0" fontId="4" fillId="9" borderId="0" xfId="0" applyFont="1" applyFill="1" applyBorder="1" applyAlignment="1">
      <alignment wrapText="1"/>
    </xf>
    <xf numFmtId="42" fontId="2" fillId="4" borderId="0" xfId="0" applyNumberFormat="1" applyFont="1" applyFill="1" applyBorder="1" applyAlignment="1" applyProtection="1"/>
    <xf numFmtId="42" fontId="2" fillId="0" borderId="0" xfId="0" applyNumberFormat="1" applyFont="1" applyFill="1" applyBorder="1" applyAlignment="1" applyProtection="1"/>
    <xf numFmtId="170" fontId="2" fillId="9" borderId="0" xfId="0" applyNumberFormat="1" applyFont="1" applyFill="1" applyBorder="1" applyAlignment="1"/>
    <xf numFmtId="10" fontId="2" fillId="9" borderId="0" xfId="0" applyNumberFormat="1" applyFont="1" applyFill="1" applyBorder="1" applyAlignment="1"/>
    <xf numFmtId="42" fontId="2" fillId="2" borderId="3" xfId="0" applyNumberFormat="1" applyFont="1" applyFill="1" applyBorder="1" applyAlignment="1" applyProtection="1"/>
    <xf numFmtId="42" fontId="2" fillId="0" borderId="3" xfId="0" applyNumberFormat="1" applyFont="1" applyFill="1" applyBorder="1" applyAlignment="1" applyProtection="1"/>
    <xf numFmtId="42" fontId="2" fillId="4" borderId="14" xfId="0" applyNumberFormat="1" applyFont="1" applyFill="1" applyBorder="1" applyAlignment="1"/>
    <xf numFmtId="170" fontId="2" fillId="4" borderId="5" xfId="0" applyNumberFormat="1" applyFont="1" applyFill="1" applyBorder="1" applyAlignment="1"/>
    <xf numFmtId="42" fontId="2" fillId="4" borderId="5" xfId="0" applyNumberFormat="1" applyFont="1" applyFill="1" applyBorder="1" applyAlignment="1"/>
    <xf numFmtId="0" fontId="4" fillId="8" borderId="29" xfId="0" applyFont="1" applyFill="1" applyBorder="1" applyAlignment="1" applyProtection="1">
      <alignment vertical="center"/>
    </xf>
    <xf numFmtId="0" fontId="2" fillId="0" borderId="7" xfId="0" applyFont="1" applyBorder="1" applyAlignment="1"/>
    <xf numFmtId="42" fontId="2" fillId="4" borderId="7" xfId="0" applyNumberFormat="1" applyFont="1" applyFill="1" applyBorder="1" applyAlignment="1"/>
    <xf numFmtId="41" fontId="2" fillId="0" borderId="2" xfId="0" applyNumberFormat="1" applyFont="1" applyBorder="1" applyAlignment="1"/>
    <xf numFmtId="0" fontId="2" fillId="4" borderId="34" xfId="0" applyFont="1" applyFill="1" applyBorder="1" applyAlignment="1"/>
    <xf numFmtId="42" fontId="2" fillId="0" borderId="3" xfId="0" applyNumberFormat="1" applyFont="1" applyBorder="1" applyAlignment="1"/>
    <xf numFmtId="42" fontId="2" fillId="4" borderId="4" xfId="0" applyNumberFormat="1" applyFont="1" applyFill="1" applyBorder="1" applyAlignment="1"/>
    <xf numFmtId="165" fontId="2" fillId="4" borderId="7" xfId="0" applyNumberFormat="1" applyFont="1" applyFill="1" applyBorder="1" applyAlignment="1"/>
    <xf numFmtId="165" fontId="2" fillId="4" borderId="46" xfId="0" applyNumberFormat="1" applyFont="1" applyFill="1" applyBorder="1" applyAlignment="1"/>
    <xf numFmtId="42" fontId="2" fillId="0" borderId="2" xfId="0" applyNumberFormat="1" applyFont="1" applyBorder="1" applyAlignment="1"/>
    <xf numFmtId="42" fontId="2" fillId="4" borderId="46" xfId="0" applyNumberFormat="1" applyFont="1" applyFill="1" applyBorder="1" applyAlignment="1"/>
    <xf numFmtId="0" fontId="4" fillId="4" borderId="36" xfId="0" applyFont="1" applyFill="1" applyBorder="1" applyAlignment="1" applyProtection="1">
      <alignment vertical="center" wrapText="1"/>
    </xf>
    <xf numFmtId="0" fontId="2" fillId="0" borderId="13" xfId="0" applyFont="1" applyBorder="1" applyAlignment="1"/>
    <xf numFmtId="172" fontId="2" fillId="0" borderId="0" xfId="2" applyNumberFormat="1" applyFont="1" applyBorder="1" applyAlignment="1"/>
    <xf numFmtId="172" fontId="2" fillId="4" borderId="7" xfId="2" applyNumberFormat="1" applyFont="1" applyFill="1" applyBorder="1" applyAlignment="1"/>
    <xf numFmtId="166" fontId="2" fillId="0" borderId="0" xfId="0" applyNumberFormat="1" applyFont="1" applyBorder="1" applyAlignment="1"/>
    <xf numFmtId="168" fontId="2" fillId="4" borderId="7" xfId="0" applyNumberFormat="1" applyFont="1" applyFill="1" applyBorder="1" applyAlignment="1"/>
    <xf numFmtId="166" fontId="2" fillId="0" borderId="2" xfId="0" applyNumberFormat="1" applyFont="1" applyBorder="1" applyAlignment="1"/>
    <xf numFmtId="170" fontId="2" fillId="4" borderId="2" xfId="0" applyNumberFormat="1" applyFont="1" applyFill="1" applyBorder="1" applyAlignment="1"/>
    <xf numFmtId="168" fontId="2" fillId="4" borderId="9" xfId="0" applyNumberFormat="1" applyFont="1" applyFill="1" applyBorder="1" applyAlignment="1"/>
    <xf numFmtId="0" fontId="2" fillId="4" borderId="23" xfId="0" applyFont="1" applyFill="1" applyBorder="1" applyAlignment="1"/>
    <xf numFmtId="172" fontId="2" fillId="0" borderId="2" xfId="2" applyNumberFormat="1" applyFont="1" applyBorder="1" applyAlignment="1"/>
    <xf numFmtId="170" fontId="2" fillId="4" borderId="28" xfId="0" applyNumberFormat="1" applyFont="1" applyFill="1" applyBorder="1" applyAlignment="1"/>
    <xf numFmtId="172" fontId="2" fillId="4" borderId="9" xfId="2" applyNumberFormat="1" applyFont="1" applyFill="1" applyBorder="1" applyAlignment="1"/>
    <xf numFmtId="172" fontId="2" fillId="4" borderId="0" xfId="2" applyNumberFormat="1" applyFont="1" applyFill="1" applyBorder="1" applyAlignment="1"/>
    <xf numFmtId="41" fontId="2" fillId="4" borderId="9" xfId="0" applyNumberFormat="1" applyFont="1" applyFill="1" applyBorder="1" applyAlignment="1"/>
    <xf numFmtId="0" fontId="2" fillId="0" borderId="3" xfId="0" applyFont="1" applyBorder="1" applyAlignment="1"/>
    <xf numFmtId="170" fontId="2" fillId="4" borderId="26" xfId="0" applyNumberFormat="1" applyFont="1" applyFill="1" applyBorder="1" applyAlignment="1"/>
    <xf numFmtId="41" fontId="2" fillId="4" borderId="6" xfId="0" applyNumberFormat="1" applyFont="1" applyFill="1" applyBorder="1" applyAlignment="1"/>
    <xf numFmtId="0" fontId="2" fillId="4" borderId="9" xfId="4" applyFont="1" applyFill="1" applyBorder="1">
      <alignment horizontal="left" wrapText="1"/>
    </xf>
    <xf numFmtId="42" fontId="2" fillId="2" borderId="9" xfId="0" applyNumberFormat="1" applyFont="1" applyFill="1" applyBorder="1" applyAlignment="1" applyProtection="1"/>
    <xf numFmtId="42" fontId="2" fillId="0" borderId="27" xfId="0" applyNumberFormat="1" applyFont="1" applyFill="1" applyBorder="1" applyAlignment="1" applyProtection="1"/>
    <xf numFmtId="42" fontId="2" fillId="0" borderId="2" xfId="0" applyNumberFormat="1" applyFont="1" applyFill="1" applyBorder="1" applyAlignment="1" applyProtection="1"/>
    <xf numFmtId="0" fontId="2" fillId="0" borderId="0" xfId="52"/>
    <xf numFmtId="0" fontId="17" fillId="0" borderId="0" xfId="52" applyFont="1" applyAlignment="1">
      <alignment horizontal="center"/>
    </xf>
    <xf numFmtId="4" fontId="5" fillId="0" borderId="0" xfId="53" applyNumberFormat="1" applyFont="1" applyAlignment="1">
      <alignment horizontal="center"/>
    </xf>
    <xf numFmtId="15" fontId="17" fillId="0" borderId="0" xfId="52" applyNumberFormat="1" applyFont="1" applyAlignment="1">
      <alignment horizontal="center"/>
    </xf>
    <xf numFmtId="15" fontId="5" fillId="0" borderId="0" xfId="52" applyNumberFormat="1" applyFont="1"/>
    <xf numFmtId="0" fontId="2" fillId="9" borderId="0" xfId="52" applyFill="1"/>
    <xf numFmtId="0" fontId="17" fillId="0" borderId="0" xfId="52" applyFont="1" applyAlignment="1">
      <alignment wrapText="1"/>
    </xf>
    <xf numFmtId="0" fontId="5" fillId="12" borderId="4" xfId="52" applyFont="1" applyFill="1" applyBorder="1" applyAlignment="1">
      <alignment horizontal="center" vertical="center" wrapText="1"/>
    </xf>
    <xf numFmtId="0" fontId="5" fillId="12" borderId="0" xfId="52" applyFont="1" applyFill="1" applyAlignment="1">
      <alignment horizontal="center" vertical="center" wrapText="1"/>
    </xf>
    <xf numFmtId="0" fontId="5" fillId="13" borderId="27" xfId="52" applyFont="1" applyFill="1" applyBorder="1" applyAlignment="1">
      <alignment horizontal="center" vertical="center" wrapText="1"/>
    </xf>
    <xf numFmtId="0" fontId="5" fillId="13" borderId="2" xfId="52" applyFont="1" applyFill="1" applyBorder="1" applyAlignment="1">
      <alignment horizontal="center" vertical="center" wrapText="1"/>
    </xf>
    <xf numFmtId="0" fontId="5" fillId="14" borderId="4" xfId="52" applyFont="1" applyFill="1" applyBorder="1" applyAlignment="1">
      <alignment horizontal="center" vertical="center" wrapText="1"/>
    </xf>
    <xf numFmtId="0" fontId="5" fillId="15" borderId="0" xfId="52" applyFont="1" applyFill="1" applyAlignment="1">
      <alignment horizontal="center" vertical="center" wrapText="1"/>
    </xf>
    <xf numFmtId="0" fontId="18" fillId="0" borderId="54" xfId="52" applyFont="1" applyBorder="1"/>
    <xf numFmtId="4" fontId="5" fillId="0" borderId="0" xfId="52" applyNumberFormat="1" applyFont="1"/>
    <xf numFmtId="0" fontId="5" fillId="0" borderId="0" xfId="52" applyFont="1"/>
    <xf numFmtId="4" fontId="5" fillId="5" borderId="0" xfId="52" applyNumberFormat="1" applyFont="1" applyFill="1"/>
    <xf numFmtId="0" fontId="5" fillId="9" borderId="0" xfId="52" applyFont="1" applyFill="1" applyAlignment="1">
      <alignment horizontal="center"/>
    </xf>
    <xf numFmtId="0" fontId="18" fillId="0" borderId="23" xfId="52" applyFont="1" applyBorder="1"/>
    <xf numFmtId="0" fontId="18" fillId="0" borderId="23" xfId="52" applyFont="1" applyBorder="1" applyAlignment="1">
      <alignment wrapText="1"/>
    </xf>
    <xf numFmtId="174" fontId="19" fillId="0" borderId="0" xfId="54" applyNumberFormat="1" applyFont="1"/>
    <xf numFmtId="0" fontId="17" fillId="0" borderId="3" xfId="52" applyFont="1" applyBorder="1"/>
    <xf numFmtId="4" fontId="17" fillId="0" borderId="3" xfId="52" applyNumberFormat="1" applyFont="1" applyBorder="1"/>
    <xf numFmtId="0" fontId="2" fillId="0" borderId="0" xfId="52" applyAlignment="1">
      <alignment horizontal="center"/>
    </xf>
    <xf numFmtId="174" fontId="20" fillId="0" borderId="0" xfId="55" applyNumberFormat="1" applyFont="1"/>
    <xf numFmtId="0" fontId="17" fillId="0" borderId="0" xfId="52" applyFont="1"/>
    <xf numFmtId="0" fontId="17" fillId="0" borderId="4" xfId="52" applyFont="1" applyBorder="1" applyAlignment="1">
      <alignment horizontal="center" vertical="center" wrapText="1"/>
    </xf>
    <xf numFmtId="0" fontId="5" fillId="0" borderId="4" xfId="52" applyFont="1" applyBorder="1" applyAlignment="1">
      <alignment horizontal="center" vertical="center" wrapText="1"/>
    </xf>
    <xf numFmtId="175" fontId="18" fillId="0" borderId="4" xfId="52" applyNumberFormat="1" applyFont="1" applyBorder="1" applyAlignment="1">
      <alignment horizontal="center" vertical="center" wrapText="1"/>
    </xf>
    <xf numFmtId="175" fontId="5" fillId="0" borderId="4" xfId="52" applyNumberFormat="1" applyFont="1" applyBorder="1" applyAlignment="1">
      <alignment horizontal="center" vertical="center" wrapText="1"/>
    </xf>
    <xf numFmtId="175" fontId="21" fillId="0" borderId="4" xfId="52" applyNumberFormat="1" applyFont="1" applyBorder="1" applyAlignment="1">
      <alignment horizontal="center" vertical="center" wrapText="1"/>
    </xf>
    <xf numFmtId="175" fontId="18" fillId="0" borderId="4" xfId="52" applyNumberFormat="1" applyFont="1" applyBorder="1" applyAlignment="1">
      <alignment vertical="center" wrapText="1"/>
    </xf>
    <xf numFmtId="0" fontId="18" fillId="0" borderId="54" xfId="52" applyFont="1" applyBorder="1" applyAlignment="1">
      <alignment horizontal="center" wrapText="1"/>
    </xf>
    <xf numFmtId="0" fontId="18" fillId="0" borderId="4" xfId="52" applyFont="1" applyBorder="1" applyAlignment="1">
      <alignment horizontal="center" wrapText="1"/>
    </xf>
    <xf numFmtId="176" fontId="18" fillId="16" borderId="21" xfId="52" applyNumberFormat="1" applyFont="1" applyFill="1" applyBorder="1" applyAlignment="1" applyProtection="1">
      <alignment horizontal="right"/>
      <protection locked="0"/>
    </xf>
    <xf numFmtId="4" fontId="5" fillId="9" borderId="4" xfId="52" applyNumberFormat="1" applyFont="1" applyFill="1" applyBorder="1"/>
    <xf numFmtId="4" fontId="5" fillId="17" borderId="4" xfId="52" applyNumberFormat="1" applyFont="1" applyFill="1" applyBorder="1"/>
    <xf numFmtId="4" fontId="17" fillId="9" borderId="4" xfId="52" applyNumberFormat="1" applyFont="1" applyFill="1" applyBorder="1"/>
    <xf numFmtId="0" fontId="17" fillId="0" borderId="4" xfId="52" applyFont="1" applyBorder="1" applyAlignment="1">
      <alignment horizontal="center"/>
    </xf>
    <xf numFmtId="4" fontId="2" fillId="0" borderId="0" xfId="52" applyNumberFormat="1"/>
    <xf numFmtId="176" fontId="18" fillId="16" borderId="23" xfId="52" applyNumberFormat="1" applyFont="1" applyFill="1" applyBorder="1" applyAlignment="1" applyProtection="1">
      <alignment horizontal="right"/>
      <protection locked="0"/>
    </xf>
    <xf numFmtId="176" fontId="18" fillId="16" borderId="9" xfId="52" applyNumberFormat="1" applyFont="1" applyFill="1" applyBorder="1" applyAlignment="1" applyProtection="1">
      <alignment horizontal="right"/>
      <protection locked="0"/>
    </xf>
    <xf numFmtId="0" fontId="5" fillId="0" borderId="4" xfId="52" applyFont="1" applyBorder="1"/>
    <xf numFmtId="3" fontId="5" fillId="17" borderId="4" xfId="52" applyNumberFormat="1" applyFont="1" applyFill="1" applyBorder="1"/>
    <xf numFmtId="3" fontId="5" fillId="9" borderId="4" xfId="52" applyNumberFormat="1" applyFont="1" applyFill="1" applyBorder="1"/>
    <xf numFmtId="4" fontId="5" fillId="0" borderId="4" xfId="52" applyNumberFormat="1" applyFont="1" applyBorder="1"/>
    <xf numFmtId="175" fontId="5" fillId="0" borderId="4" xfId="52" applyNumberFormat="1" applyFont="1" applyBorder="1" applyAlignment="1">
      <alignment vertical="center" wrapText="1"/>
    </xf>
    <xf numFmtId="0" fontId="18" fillId="0" borderId="27" xfId="52" applyFont="1" applyBorder="1"/>
    <xf numFmtId="4" fontId="17" fillId="0" borderId="4" xfId="52" applyNumberFormat="1" applyFont="1" applyBorder="1"/>
    <xf numFmtId="4" fontId="17" fillId="0" borderId="0" xfId="52" applyNumberFormat="1" applyFont="1"/>
    <xf numFmtId="0" fontId="5" fillId="18" borderId="0" xfId="52" applyFont="1" applyFill="1" applyAlignment="1">
      <alignment horizontal="center"/>
    </xf>
    <xf numFmtId="3" fontId="5" fillId="0" borderId="4" xfId="52" applyNumberFormat="1" applyFont="1" applyBorder="1"/>
    <xf numFmtId="3" fontId="17" fillId="9" borderId="4" xfId="52" applyNumberFormat="1" applyFont="1" applyFill="1" applyBorder="1"/>
    <xf numFmtId="3" fontId="17" fillId="0" borderId="4" xfId="52" applyNumberFormat="1" applyFont="1" applyBorder="1"/>
    <xf numFmtId="4" fontId="5" fillId="0" borderId="0" xfId="52" applyNumberFormat="1" applyFont="1" applyAlignment="1">
      <alignment horizontal="center"/>
    </xf>
    <xf numFmtId="3" fontId="2" fillId="0" borderId="0" xfId="52" applyNumberFormat="1"/>
    <xf numFmtId="0" fontId="2" fillId="19" borderId="0" xfId="52" applyFill="1"/>
    <xf numFmtId="4" fontId="17" fillId="17" borderId="4" xfId="52" applyNumberFormat="1" applyFont="1" applyFill="1" applyBorder="1"/>
    <xf numFmtId="4" fontId="5" fillId="18" borderId="0" xfId="52" applyNumberFormat="1" applyFont="1" applyFill="1" applyAlignment="1">
      <alignment horizontal="center"/>
    </xf>
    <xf numFmtId="0" fontId="5" fillId="9" borderId="0" xfId="52" applyFont="1" applyFill="1"/>
    <xf numFmtId="0" fontId="21" fillId="0" borderId="23" xfId="52" applyFont="1" applyBorder="1"/>
    <xf numFmtId="176" fontId="21" fillId="16" borderId="23" xfId="52" applyNumberFormat="1" applyFont="1" applyFill="1" applyBorder="1" applyAlignment="1" applyProtection="1">
      <alignment horizontal="right"/>
      <protection locked="0"/>
    </xf>
    <xf numFmtId="2" fontId="22" fillId="9" borderId="0" xfId="56" applyNumberFormat="1" applyFont="1" applyFill="1" applyAlignment="1">
      <alignment horizontal="center"/>
    </xf>
    <xf numFmtId="0" fontId="4" fillId="0" borderId="0" xfId="52" applyFont="1"/>
    <xf numFmtId="2" fontId="23" fillId="9" borderId="0" xfId="56" applyNumberFormat="1" applyFont="1" applyFill="1" applyAlignment="1">
      <alignment horizontal="center"/>
    </xf>
    <xf numFmtId="0" fontId="24" fillId="9" borderId="0" xfId="56" applyFont="1" applyFill="1"/>
    <xf numFmtId="2" fontId="24" fillId="9" borderId="0" xfId="56" applyNumberFormat="1" applyFont="1" applyFill="1" applyAlignment="1">
      <alignment horizontal="center"/>
    </xf>
    <xf numFmtId="167" fontId="24" fillId="9" borderId="0" xfId="10" applyNumberFormat="1" applyFont="1" applyFill="1" applyBorder="1"/>
    <xf numFmtId="2" fontId="24" fillId="9" borderId="0" xfId="56" applyNumberFormat="1" applyFont="1" applyFill="1" applyAlignment="1">
      <alignment horizontal="right"/>
    </xf>
    <xf numFmtId="167" fontId="24" fillId="7" borderId="0" xfId="10" applyNumberFormat="1" applyFont="1" applyFill="1" applyBorder="1"/>
    <xf numFmtId="2" fontId="24" fillId="7" borderId="0" xfId="56" applyNumberFormat="1" applyFont="1" applyFill="1" applyAlignment="1">
      <alignment horizontal="right"/>
    </xf>
    <xf numFmtId="0" fontId="2" fillId="7" borderId="0" xfId="52" applyFill="1"/>
    <xf numFmtId="0" fontId="5" fillId="20" borderId="0" xfId="52" applyFont="1" applyFill="1" applyAlignment="1">
      <alignment horizontal="center" vertical="center" wrapText="1"/>
    </xf>
    <xf numFmtId="167" fontId="23" fillId="9" borderId="0" xfId="10" applyNumberFormat="1" applyFont="1" applyFill="1" applyBorder="1"/>
    <xf numFmtId="0" fontId="18" fillId="9" borderId="0" xfId="52" applyFont="1" applyFill="1"/>
    <xf numFmtId="4" fontId="5" fillId="9" borderId="0" xfId="52" applyNumberFormat="1" applyFont="1" applyFill="1"/>
    <xf numFmtId="0" fontId="5" fillId="0" borderId="21" xfId="52" applyFont="1" applyBorder="1" applyAlignment="1">
      <alignment horizontal="center" vertical="center" wrapText="1"/>
    </xf>
    <xf numFmtId="42" fontId="5" fillId="9" borderId="4" xfId="52" applyNumberFormat="1" applyFont="1" applyFill="1" applyBorder="1"/>
    <xf numFmtId="42" fontId="5" fillId="17" borderId="4" xfId="52" applyNumberFormat="1" applyFont="1" applyFill="1" applyBorder="1"/>
    <xf numFmtId="41" fontId="5" fillId="17" borderId="4" xfId="52" applyNumberFormat="1" applyFont="1" applyFill="1" applyBorder="1"/>
    <xf numFmtId="42" fontId="17" fillId="9" borderId="4" xfId="52" applyNumberFormat="1" applyFont="1" applyFill="1" applyBorder="1"/>
    <xf numFmtId="41" fontId="5" fillId="9" borderId="4" xfId="52" applyNumberFormat="1" applyFont="1" applyFill="1" applyBorder="1"/>
    <xf numFmtId="41" fontId="17" fillId="9" borderId="4" xfId="52" applyNumberFormat="1" applyFont="1" applyFill="1" applyBorder="1"/>
    <xf numFmtId="41" fontId="5" fillId="0" borderId="4" xfId="52" applyNumberFormat="1" applyFont="1" applyBorder="1"/>
    <xf numFmtId="41" fontId="17" fillId="0" borderId="4" xfId="52" applyNumberFormat="1" applyFont="1" applyBorder="1"/>
    <xf numFmtId="42" fontId="5" fillId="0" borderId="0" xfId="52" applyNumberFormat="1" applyFont="1"/>
    <xf numFmtId="42" fontId="17" fillId="0" borderId="0" xfId="52" applyNumberFormat="1" applyFont="1"/>
    <xf numFmtId="2" fontId="24" fillId="18" borderId="0" xfId="56" applyNumberFormat="1" applyFont="1" applyFill="1" applyAlignment="1">
      <alignment horizontal="center"/>
    </xf>
    <xf numFmtId="43" fontId="2" fillId="0" borderId="0" xfId="52" applyNumberFormat="1"/>
    <xf numFmtId="0" fontId="5" fillId="0" borderId="23" xfId="52" applyFont="1" applyBorder="1" applyAlignment="1">
      <alignment horizontal="center" vertical="center" wrapText="1"/>
    </xf>
    <xf numFmtId="164" fontId="5" fillId="9" borderId="4" xfId="52" applyNumberFormat="1" applyFont="1" applyFill="1" applyBorder="1"/>
    <xf numFmtId="44" fontId="5" fillId="9" borderId="4" xfId="52" applyNumberFormat="1" applyFont="1" applyFill="1" applyBorder="1"/>
    <xf numFmtId="44" fontId="2" fillId="0" borderId="0" xfId="52" applyNumberFormat="1"/>
    <xf numFmtId="0" fontId="18" fillId="9" borderId="0" xfId="52" applyFont="1" applyFill="1" applyAlignment="1">
      <alignment horizontal="center"/>
    </xf>
    <xf numFmtId="43" fontId="18" fillId="9" borderId="0" xfId="52" applyNumberFormat="1" applyFont="1" applyFill="1" applyAlignment="1">
      <alignment horizontal="center"/>
    </xf>
    <xf numFmtId="42" fontId="5" fillId="9" borderId="0" xfId="52" applyNumberFormat="1" applyFont="1" applyFill="1"/>
    <xf numFmtId="0" fontId="29" fillId="0" borderId="0" xfId="53" applyFont="1" applyAlignment="1">
      <alignment horizontal="left"/>
    </xf>
    <xf numFmtId="0" fontId="5" fillId="0" borderId="0" xfId="53" applyFont="1"/>
    <xf numFmtId="4" fontId="30" fillId="0" borderId="10" xfId="53" applyNumberFormat="1" applyFont="1" applyBorder="1"/>
    <xf numFmtId="177" fontId="31" fillId="0" borderId="3" xfId="53" applyNumberFormat="1" applyFont="1" applyBorder="1" applyAlignment="1">
      <alignment horizontal="center"/>
    </xf>
    <xf numFmtId="42" fontId="32" fillId="4" borderId="3" xfId="53" applyNumberFormat="1" applyFont="1" applyFill="1" applyBorder="1"/>
    <xf numFmtId="0" fontId="31" fillId="0" borderId="3" xfId="53" applyFont="1" applyBorder="1"/>
    <xf numFmtId="0" fontId="31" fillId="0" borderId="11" xfId="53" applyFont="1" applyBorder="1"/>
    <xf numFmtId="0" fontId="5" fillId="0" borderId="0" xfId="53" applyFont="1" applyAlignment="1">
      <alignment horizontal="center"/>
    </xf>
    <xf numFmtId="14" fontId="5" fillId="0" borderId="0" xfId="53" applyNumberFormat="1" applyFont="1"/>
    <xf numFmtId="0" fontId="5" fillId="5" borderId="0" xfId="53" applyFont="1" applyFill="1"/>
    <xf numFmtId="174" fontId="33" fillId="0" borderId="0" xfId="55" applyNumberFormat="1" applyFont="1"/>
    <xf numFmtId="0" fontId="34" fillId="0" borderId="0" xfId="53" applyFont="1" applyAlignment="1">
      <alignment horizontal="center"/>
    </xf>
    <xf numFmtId="0" fontId="29" fillId="0" borderId="0" xfId="53" applyFont="1" applyAlignment="1">
      <alignment horizontal="center"/>
    </xf>
    <xf numFmtId="0" fontId="35" fillId="0" borderId="0" xfId="53" applyFont="1"/>
    <xf numFmtId="10" fontId="30" fillId="0" borderId="0" xfId="9" applyNumberFormat="1" applyFont="1"/>
    <xf numFmtId="0" fontId="30" fillId="0" borderId="0" xfId="53" applyFont="1"/>
    <xf numFmtId="0" fontId="30" fillId="0" borderId="0" xfId="53" applyFont="1" applyAlignment="1">
      <alignment horizontal="center"/>
    </xf>
    <xf numFmtId="0" fontId="5" fillId="0" borderId="6" xfId="53" applyFont="1" applyBorder="1" applyAlignment="1">
      <alignment horizontal="center"/>
    </xf>
    <xf numFmtId="0" fontId="17" fillId="4" borderId="0" xfId="53" applyFont="1" applyFill="1"/>
    <xf numFmtId="0" fontId="5" fillId="0" borderId="4" xfId="53" applyFont="1" applyBorder="1" applyAlignment="1">
      <alignment horizontal="center" wrapText="1"/>
    </xf>
    <xf numFmtId="0" fontId="5" fillId="0" borderId="4" xfId="53" applyFont="1" applyBorder="1" applyAlignment="1">
      <alignment horizontal="center"/>
    </xf>
    <xf numFmtId="4" fontId="5" fillId="0" borderId="0" xfId="53" applyNumberFormat="1" applyFont="1"/>
    <xf numFmtId="42" fontId="36" fillId="4" borderId="0" xfId="53" applyNumberFormat="1" applyFont="1" applyFill="1"/>
    <xf numFmtId="42" fontId="32" fillId="9" borderId="9" xfId="53" applyNumberFormat="1" applyFont="1" applyFill="1" applyBorder="1"/>
    <xf numFmtId="0" fontId="17" fillId="0" borderId="0" xfId="53" applyFont="1" applyAlignment="1">
      <alignment horizontal="center"/>
    </xf>
    <xf numFmtId="0" fontId="17" fillId="0" borderId="0" xfId="53" applyFont="1"/>
    <xf numFmtId="177" fontId="5" fillId="0" borderId="0" xfId="53" applyNumberFormat="1" applyFont="1" applyAlignment="1">
      <alignment horizontal="center"/>
    </xf>
    <xf numFmtId="0" fontId="5" fillId="5" borderId="55" xfId="53" applyFont="1" applyFill="1" applyBorder="1" applyAlignment="1">
      <alignment horizontal="center"/>
    </xf>
    <xf numFmtId="0" fontId="5" fillId="0" borderId="6" xfId="53" quotePrefix="1" applyFont="1" applyBorder="1"/>
    <xf numFmtId="0" fontId="17" fillId="0" borderId="21" xfId="53" applyFont="1" applyBorder="1" applyAlignment="1">
      <alignment horizontal="center"/>
    </xf>
    <xf numFmtId="0" fontId="4" fillId="0" borderId="22" xfId="53" applyFont="1" applyBorder="1" applyAlignment="1">
      <alignment horizontal="center"/>
    </xf>
    <xf numFmtId="37" fontId="17" fillId="0" borderId="4" xfId="53" applyNumberFormat="1" applyFont="1" applyBorder="1" applyAlignment="1">
      <alignment horizontal="center"/>
    </xf>
    <xf numFmtId="37" fontId="5" fillId="0" borderId="21" xfId="53" applyNumberFormat="1" applyFont="1" applyBorder="1" applyAlignment="1">
      <alignment horizontal="center"/>
    </xf>
    <xf numFmtId="37" fontId="5" fillId="0" borderId="26" xfId="53" applyNumberFormat="1" applyFont="1" applyBorder="1" applyAlignment="1">
      <alignment horizontal="center"/>
    </xf>
    <xf numFmtId="37" fontId="17" fillId="0" borderId="22" xfId="53" applyNumberFormat="1" applyFont="1" applyBorder="1" applyAlignment="1">
      <alignment horizontal="center"/>
    </xf>
    <xf numFmtId="42" fontId="32" fillId="5" borderId="56" xfId="53" applyNumberFormat="1" applyFont="1" applyFill="1" applyBorder="1"/>
    <xf numFmtId="0" fontId="5" fillId="0" borderId="7" xfId="53" applyFont="1" applyBorder="1" applyAlignment="1">
      <alignment horizontal="center"/>
    </xf>
    <xf numFmtId="0" fontId="5" fillId="0" borderId="0" xfId="53" applyFont="1" applyAlignment="1">
      <alignment horizontal="center" vertical="center" wrapText="1"/>
    </xf>
    <xf numFmtId="0" fontId="5" fillId="0" borderId="0" xfId="53" applyFont="1" applyAlignment="1">
      <alignment horizontal="center" wrapText="1"/>
    </xf>
    <xf numFmtId="0" fontId="5" fillId="12" borderId="4" xfId="53" applyFont="1" applyFill="1" applyBorder="1" applyAlignment="1">
      <alignment horizontal="center" vertical="center" wrapText="1"/>
    </xf>
    <xf numFmtId="0" fontId="5" fillId="12" borderId="0" xfId="53" applyFont="1" applyFill="1" applyAlignment="1">
      <alignment horizontal="center" vertical="center" wrapText="1"/>
    </xf>
    <xf numFmtId="0" fontId="5" fillId="13" borderId="27" xfId="53" applyFont="1" applyFill="1" applyBorder="1" applyAlignment="1">
      <alignment horizontal="center" vertical="center" wrapText="1"/>
    </xf>
    <xf numFmtId="0" fontId="5" fillId="13" borderId="2" xfId="53" applyFont="1" applyFill="1" applyBorder="1" applyAlignment="1">
      <alignment horizontal="center" vertical="center" wrapText="1"/>
    </xf>
    <xf numFmtId="0" fontId="5" fillId="12" borderId="28" xfId="53" applyFont="1" applyFill="1" applyBorder="1" applyAlignment="1">
      <alignment horizontal="center" vertical="center" wrapText="1"/>
    </xf>
    <xf numFmtId="0" fontId="5" fillId="14" borderId="4" xfId="53" applyFont="1" applyFill="1" applyBorder="1" applyAlignment="1">
      <alignment horizontal="center" vertical="center" wrapText="1"/>
    </xf>
    <xf numFmtId="177" fontId="5" fillId="0" borderId="4" xfId="53" applyNumberFormat="1" applyFont="1" applyBorder="1" applyAlignment="1">
      <alignment horizontal="center" vertical="center" wrapText="1"/>
    </xf>
    <xf numFmtId="0" fontId="5" fillId="0" borderId="9" xfId="53" applyFont="1" applyBorder="1" applyAlignment="1">
      <alignment horizontal="center" vertical="center" wrapText="1"/>
    </xf>
    <xf numFmtId="0" fontId="30" fillId="0" borderId="57" xfId="53" applyFont="1" applyBorder="1" applyAlignment="1">
      <alignment horizontal="center" vertical="center" wrapText="1"/>
    </xf>
    <xf numFmtId="0" fontId="17" fillId="0" borderId="9" xfId="53" applyFont="1" applyBorder="1" applyAlignment="1">
      <alignment horizontal="center" vertical="center" wrapText="1"/>
    </xf>
    <xf numFmtId="0" fontId="5" fillId="0" borderId="57" xfId="53" applyFont="1" applyBorder="1" applyAlignment="1">
      <alignment horizontal="center" vertical="center" wrapText="1"/>
    </xf>
    <xf numFmtId="0" fontId="17" fillId="0" borderId="27" xfId="53" applyFont="1" applyBorder="1" applyAlignment="1">
      <alignment horizontal="center" vertical="center" wrapText="1"/>
    </xf>
    <xf numFmtId="0" fontId="17" fillId="0" borderId="28" xfId="53" applyFont="1" applyBorder="1" applyAlignment="1">
      <alignment horizontal="center" vertical="center" wrapText="1"/>
    </xf>
    <xf numFmtId="0" fontId="17" fillId="21" borderId="0" xfId="53" applyFont="1" applyFill="1"/>
    <xf numFmtId="0" fontId="5" fillId="21" borderId="0" xfId="53" applyFont="1" applyFill="1"/>
    <xf numFmtId="0" fontId="5" fillId="0" borderId="58" xfId="53" applyFont="1" applyBorder="1"/>
    <xf numFmtId="3" fontId="5" fillId="22" borderId="4" xfId="53" applyNumberFormat="1" applyFont="1" applyFill="1" applyBorder="1"/>
    <xf numFmtId="3" fontId="5" fillId="0" borderId="4" xfId="53" applyNumberFormat="1" applyFont="1" applyBorder="1"/>
    <xf numFmtId="4" fontId="5" fillId="0" borderId="4" xfId="53" applyNumberFormat="1" applyFont="1" applyBorder="1"/>
    <xf numFmtId="177" fontId="5" fillId="0" borderId="4" xfId="53" applyNumberFormat="1" applyFont="1" applyBorder="1" applyAlignment="1">
      <alignment horizontal="center"/>
    </xf>
    <xf numFmtId="44" fontId="17" fillId="0" borderId="4" xfId="53" applyNumberFormat="1" applyFont="1" applyBorder="1"/>
    <xf numFmtId="42" fontId="5" fillId="0" borderId="4" xfId="53" applyNumberFormat="1" applyFont="1" applyBorder="1"/>
    <xf numFmtId="42" fontId="5" fillId="5" borderId="4" xfId="53" applyNumberFormat="1" applyFont="1" applyFill="1" applyBorder="1"/>
    <xf numFmtId="43" fontId="17" fillId="0" borderId="4" xfId="53" applyNumberFormat="1" applyFont="1" applyBorder="1"/>
    <xf numFmtId="41" fontId="17" fillId="0" borderId="4" xfId="53" applyNumberFormat="1" applyFont="1" applyBorder="1"/>
    <xf numFmtId="41" fontId="5" fillId="5" borderId="4" xfId="53" applyNumberFormat="1" applyFont="1" applyFill="1" applyBorder="1"/>
    <xf numFmtId="5" fontId="5" fillId="0" borderId="59" xfId="53" applyNumberFormat="1" applyFont="1" applyBorder="1"/>
    <xf numFmtId="4" fontId="5" fillId="0" borderId="6" xfId="53" applyNumberFormat="1" applyFont="1" applyBorder="1"/>
    <xf numFmtId="5" fontId="17" fillId="21" borderId="59" xfId="53" applyNumberFormat="1" applyFont="1" applyFill="1" applyBorder="1" applyAlignment="1">
      <alignment horizontal="center"/>
    </xf>
    <xf numFmtId="4" fontId="17" fillId="5" borderId="60" xfId="53" applyNumberFormat="1" applyFont="1" applyFill="1" applyBorder="1"/>
    <xf numFmtId="177" fontId="5" fillId="0" borderId="11" xfId="53" applyNumberFormat="1" applyFont="1" applyBorder="1" applyAlignment="1">
      <alignment horizontal="center"/>
    </xf>
    <xf numFmtId="44" fontId="17" fillId="21" borderId="4" xfId="53" applyNumberFormat="1" applyFont="1" applyFill="1" applyBorder="1"/>
    <xf numFmtId="42" fontId="5" fillId="21" borderId="4" xfId="53" applyNumberFormat="1" applyFont="1" applyFill="1" applyBorder="1"/>
    <xf numFmtId="44" fontId="5" fillId="0" borderId="9" xfId="53" applyNumberFormat="1" applyFont="1" applyBorder="1"/>
    <xf numFmtId="42" fontId="5" fillId="23" borderId="4" xfId="53" applyNumberFormat="1" applyFont="1" applyFill="1" applyBorder="1"/>
    <xf numFmtId="3" fontId="5" fillId="0" borderId="0" xfId="53" applyNumberFormat="1" applyFont="1"/>
    <xf numFmtId="5" fontId="5" fillId="0" borderId="0" xfId="53" applyNumberFormat="1" applyFont="1"/>
    <xf numFmtId="2" fontId="5" fillId="0" borderId="0" xfId="53" applyNumberFormat="1" applyFont="1"/>
    <xf numFmtId="4" fontId="5" fillId="4" borderId="0" xfId="53" applyNumberFormat="1" applyFont="1" applyFill="1"/>
    <xf numFmtId="3" fontId="5" fillId="21" borderId="0" xfId="53" applyNumberFormat="1" applyFont="1" applyFill="1"/>
    <xf numFmtId="42" fontId="5" fillId="0" borderId="0" xfId="53" applyNumberFormat="1" applyFont="1"/>
    <xf numFmtId="3" fontId="5" fillId="4" borderId="4" xfId="53" applyNumberFormat="1" applyFont="1" applyFill="1" applyBorder="1"/>
    <xf numFmtId="44" fontId="5" fillId="0" borderId="4" xfId="53" applyNumberFormat="1" applyFont="1" applyBorder="1"/>
    <xf numFmtId="41" fontId="5" fillId="0" borderId="4" xfId="53" applyNumberFormat="1" applyFont="1" applyBorder="1"/>
    <xf numFmtId="43" fontId="5" fillId="0" borderId="4" xfId="53" applyNumberFormat="1" applyFont="1" applyBorder="1"/>
    <xf numFmtId="41" fontId="5" fillId="0" borderId="0" xfId="53" applyNumberFormat="1" applyFont="1"/>
    <xf numFmtId="0" fontId="17" fillId="0" borderId="4" xfId="53" applyFont="1" applyBorder="1" applyAlignment="1">
      <alignment horizontal="right"/>
    </xf>
    <xf numFmtId="0" fontId="5" fillId="0" borderId="4" xfId="53" applyFont="1" applyBorder="1"/>
    <xf numFmtId="3" fontId="5" fillId="0" borderId="9" xfId="53" applyNumberFormat="1" applyFont="1" applyBorder="1"/>
    <xf numFmtId="4" fontId="5" fillId="0" borderId="9" xfId="53" applyNumberFormat="1" applyFont="1" applyBorder="1"/>
    <xf numFmtId="177" fontId="5" fillId="0" borderId="9" xfId="53" applyNumberFormat="1" applyFont="1" applyBorder="1" applyAlignment="1">
      <alignment horizontal="center"/>
    </xf>
    <xf numFmtId="44" fontId="17" fillId="0" borderId="9" xfId="53" applyNumberFormat="1" applyFont="1" applyBorder="1"/>
    <xf numFmtId="0" fontId="30" fillId="0" borderId="9" xfId="53" applyFont="1" applyBorder="1" applyAlignment="1">
      <alignment horizontal="center"/>
    </xf>
    <xf numFmtId="42" fontId="17" fillId="0" borderId="9" xfId="53" applyNumberFormat="1" applyFont="1" applyBorder="1"/>
    <xf numFmtId="0" fontId="5" fillId="0" borderId="9" xfId="53" applyFont="1" applyBorder="1" applyAlignment="1">
      <alignment horizontal="center"/>
    </xf>
    <xf numFmtId="0" fontId="5" fillId="0" borderId="61" xfId="53" applyFont="1" applyBorder="1"/>
    <xf numFmtId="42" fontId="5" fillId="0" borderId="9" xfId="53" applyNumberFormat="1" applyFont="1" applyBorder="1"/>
    <xf numFmtId="41" fontId="5" fillId="0" borderId="9" xfId="53" applyNumberFormat="1" applyFont="1" applyBorder="1"/>
    <xf numFmtId="5" fontId="5" fillId="24" borderId="59" xfId="53" applyNumberFormat="1" applyFont="1" applyFill="1" applyBorder="1" applyAlignment="1">
      <alignment horizontal="left"/>
    </xf>
    <xf numFmtId="43" fontId="17" fillId="0" borderId="10" xfId="53" applyNumberFormat="1" applyFont="1" applyBorder="1"/>
    <xf numFmtId="41" fontId="5" fillId="5" borderId="21" xfId="53" applyNumberFormat="1" applyFont="1" applyFill="1" applyBorder="1"/>
    <xf numFmtId="41" fontId="5" fillId="5" borderId="22" xfId="53" applyNumberFormat="1" applyFont="1" applyFill="1" applyBorder="1"/>
    <xf numFmtId="5" fontId="5" fillId="24" borderId="59" xfId="53" applyNumberFormat="1" applyFont="1" applyFill="1" applyBorder="1"/>
    <xf numFmtId="41" fontId="5" fillId="5" borderId="27" xfId="53" applyNumberFormat="1" applyFont="1" applyFill="1" applyBorder="1"/>
    <xf numFmtId="41" fontId="5" fillId="5" borderId="28" xfId="53" applyNumberFormat="1" applyFont="1" applyFill="1" applyBorder="1"/>
    <xf numFmtId="3" fontId="5" fillId="22" borderId="0" xfId="53" applyNumberFormat="1" applyFont="1" applyFill="1"/>
    <xf numFmtId="42" fontId="17" fillId="21" borderId="4" xfId="53" applyNumberFormat="1" applyFont="1" applyFill="1" applyBorder="1"/>
    <xf numFmtId="42" fontId="5" fillId="0" borderId="4" xfId="53" applyNumberFormat="1" applyFont="1" applyBorder="1" applyAlignment="1">
      <alignment horizontal="center"/>
    </xf>
    <xf numFmtId="42" fontId="5" fillId="23" borderId="9" xfId="53" applyNumberFormat="1" applyFont="1" applyFill="1" applyBorder="1"/>
    <xf numFmtId="0" fontId="5" fillId="24" borderId="4" xfId="53" applyFont="1" applyFill="1" applyBorder="1"/>
    <xf numFmtId="0" fontId="30" fillId="0" borderId="10" xfId="53" applyFont="1" applyBorder="1" applyAlignment="1">
      <alignment horizontal="center"/>
    </xf>
    <xf numFmtId="0" fontId="5" fillId="0" borderId="11" xfId="53" applyFont="1" applyBorder="1" applyAlignment="1">
      <alignment horizontal="center"/>
    </xf>
    <xf numFmtId="0" fontId="5" fillId="0" borderId="4" xfId="53" applyFont="1" applyBorder="1" applyAlignment="1">
      <alignment horizontal="left"/>
    </xf>
    <xf numFmtId="0" fontId="5" fillId="0" borderId="3" xfId="53" applyFont="1" applyBorder="1" applyAlignment="1">
      <alignment horizontal="left"/>
    </xf>
    <xf numFmtId="0" fontId="5" fillId="0" borderId="3" xfId="53" applyFont="1" applyBorder="1"/>
    <xf numFmtId="3" fontId="5" fillId="0" borderId="3" xfId="53" applyNumberFormat="1" applyFont="1" applyBorder="1"/>
    <xf numFmtId="4" fontId="5" fillId="0" borderId="3" xfId="53" applyNumberFormat="1" applyFont="1" applyBorder="1"/>
    <xf numFmtId="177" fontId="5" fillId="0" borderId="3" xfId="53" applyNumberFormat="1" applyFont="1" applyBorder="1" applyAlignment="1">
      <alignment horizontal="center"/>
    </xf>
    <xf numFmtId="43" fontId="17" fillId="0" borderId="3" xfId="53" applyNumberFormat="1" applyFont="1" applyBorder="1"/>
    <xf numFmtId="0" fontId="30" fillId="0" borderId="3" xfId="53" applyFont="1" applyBorder="1" applyAlignment="1">
      <alignment horizontal="center"/>
    </xf>
    <xf numFmtId="41" fontId="17" fillId="0" borderId="3" xfId="53" applyNumberFormat="1" applyFont="1" applyBorder="1"/>
    <xf numFmtId="0" fontId="5" fillId="0" borderId="3" xfId="53" applyFont="1" applyBorder="1" applyAlignment="1">
      <alignment horizontal="center"/>
    </xf>
    <xf numFmtId="41" fontId="5" fillId="0" borderId="26" xfId="53" applyNumberFormat="1" applyFont="1" applyBorder="1"/>
    <xf numFmtId="41" fontId="5" fillId="0" borderId="6" xfId="53" applyNumberFormat="1" applyFont="1" applyBorder="1"/>
    <xf numFmtId="41" fontId="17" fillId="0" borderId="6" xfId="53" applyNumberFormat="1" applyFont="1" applyBorder="1"/>
    <xf numFmtId="41" fontId="5" fillId="5" borderId="6" xfId="53" applyNumberFormat="1" applyFont="1" applyFill="1" applyBorder="1"/>
    <xf numFmtId="43" fontId="5" fillId="0" borderId="10" xfId="53" applyNumberFormat="1" applyFont="1" applyBorder="1"/>
    <xf numFmtId="0" fontId="5" fillId="25" borderId="4" xfId="53" applyFont="1" applyFill="1" applyBorder="1"/>
    <xf numFmtId="4" fontId="5" fillId="26" borderId="4" xfId="53" applyNumberFormat="1" applyFont="1" applyFill="1" applyBorder="1"/>
    <xf numFmtId="177" fontId="5" fillId="26" borderId="4" xfId="53" applyNumberFormat="1" applyFont="1" applyFill="1" applyBorder="1" applyAlignment="1">
      <alignment horizontal="center"/>
    </xf>
    <xf numFmtId="43" fontId="17" fillId="4" borderId="4" xfId="53" applyNumberFormat="1" applyFont="1" applyFill="1" applyBorder="1"/>
    <xf numFmtId="0" fontId="5" fillId="0" borderId="11" xfId="53" applyFont="1" applyBorder="1"/>
    <xf numFmtId="0" fontId="5" fillId="25" borderId="4" xfId="53" applyFont="1" applyFill="1" applyBorder="1" applyAlignment="1">
      <alignment wrapText="1"/>
    </xf>
    <xf numFmtId="5" fontId="17" fillId="24" borderId="4" xfId="53" applyNumberFormat="1" applyFont="1" applyFill="1" applyBorder="1" applyAlignment="1">
      <alignment horizontal="left"/>
    </xf>
    <xf numFmtId="0" fontId="30" fillId="0" borderId="4" xfId="53" applyFont="1" applyBorder="1" applyAlignment="1">
      <alignment horizontal="center"/>
    </xf>
    <xf numFmtId="5" fontId="5" fillId="24" borderId="0" xfId="53" applyNumberFormat="1" applyFont="1" applyFill="1"/>
    <xf numFmtId="5" fontId="5" fillId="24" borderId="0" xfId="53" applyNumberFormat="1" applyFont="1" applyFill="1" applyAlignment="1">
      <alignment horizontal="left"/>
    </xf>
    <xf numFmtId="44" fontId="5" fillId="0" borderId="0" xfId="53" applyNumberFormat="1" applyFont="1"/>
    <xf numFmtId="5" fontId="5" fillId="0" borderId="0" xfId="53" applyNumberFormat="1" applyFont="1" applyAlignment="1">
      <alignment horizontal="left"/>
    </xf>
    <xf numFmtId="43" fontId="5" fillId="0" borderId="0" xfId="53" applyNumberFormat="1" applyFont="1"/>
    <xf numFmtId="5" fontId="17" fillId="0" borderId="4" xfId="53" applyNumberFormat="1" applyFont="1" applyBorder="1" applyAlignment="1">
      <alignment horizontal="right"/>
    </xf>
    <xf numFmtId="5" fontId="5" fillId="0" borderId="0" xfId="53" applyNumberFormat="1" applyFont="1" applyAlignment="1">
      <alignment horizontal="right"/>
    </xf>
    <xf numFmtId="5" fontId="17" fillId="24" borderId="4" xfId="53" applyNumberFormat="1" applyFont="1" applyFill="1" applyBorder="1" applyAlignment="1">
      <alignment horizontal="right"/>
    </xf>
    <xf numFmtId="42" fontId="17" fillId="0" borderId="4" xfId="53" applyNumberFormat="1" applyFont="1" applyBorder="1"/>
    <xf numFmtId="5" fontId="17" fillId="27" borderId="62" xfId="53" applyNumberFormat="1" applyFont="1" applyFill="1" applyBorder="1" applyAlignment="1">
      <alignment horizontal="center"/>
    </xf>
    <xf numFmtId="39" fontId="17" fillId="5" borderId="60" xfId="53" applyNumberFormat="1" applyFont="1" applyFill="1" applyBorder="1"/>
    <xf numFmtId="177" fontId="5" fillId="0" borderId="28" xfId="53" applyNumberFormat="1" applyFont="1" applyBorder="1" applyAlignment="1">
      <alignment horizontal="center"/>
    </xf>
    <xf numFmtId="44" fontId="17" fillId="21" borderId="9" xfId="53" applyNumberFormat="1" applyFont="1" applyFill="1" applyBorder="1"/>
    <xf numFmtId="0" fontId="5" fillId="4" borderId="0" xfId="53" applyFont="1" applyFill="1"/>
    <xf numFmtId="0" fontId="5" fillId="0" borderId="0" xfId="53" applyFont="1" applyAlignment="1">
      <alignment horizontal="left"/>
    </xf>
    <xf numFmtId="0" fontId="5" fillId="0" borderId="0" xfId="53" applyFont="1" applyAlignment="1">
      <alignment horizontal="right"/>
    </xf>
    <xf numFmtId="0" fontId="37" fillId="0" borderId="0" xfId="56" applyFont="1"/>
    <xf numFmtId="42" fontId="5" fillId="5" borderId="9" xfId="53" applyNumberFormat="1" applyFont="1" applyFill="1" applyBorder="1"/>
    <xf numFmtId="0" fontId="5" fillId="0" borderId="0" xfId="53" quotePrefix="1" applyFont="1" applyAlignment="1">
      <alignment horizontal="left"/>
    </xf>
    <xf numFmtId="0" fontId="17" fillId="0" borderId="4" xfId="53" applyFont="1" applyBorder="1"/>
    <xf numFmtId="3" fontId="5" fillId="4" borderId="0" xfId="53" applyNumberFormat="1" applyFont="1" applyFill="1"/>
    <xf numFmtId="0" fontId="17" fillId="9" borderId="0" xfId="53" applyFont="1" applyFill="1" applyAlignment="1">
      <alignment horizontal="right"/>
    </xf>
    <xf numFmtId="0" fontId="5" fillId="9" borderId="0" xfId="53" applyFont="1" applyFill="1"/>
    <xf numFmtId="3" fontId="5" fillId="9" borderId="0" xfId="53" applyNumberFormat="1" applyFont="1" applyFill="1"/>
    <xf numFmtId="4" fontId="5" fillId="9" borderId="0" xfId="53" applyNumberFormat="1" applyFont="1" applyFill="1"/>
    <xf numFmtId="177" fontId="5" fillId="9" borderId="0" xfId="53" applyNumberFormat="1" applyFont="1" applyFill="1" applyAlignment="1">
      <alignment horizontal="center"/>
    </xf>
    <xf numFmtId="44" fontId="17" fillId="9" borderId="0" xfId="53" applyNumberFormat="1" applyFont="1" applyFill="1"/>
    <xf numFmtId="0" fontId="30" fillId="9" borderId="0" xfId="53" applyFont="1" applyFill="1" applyAlignment="1">
      <alignment horizontal="center"/>
    </xf>
    <xf numFmtId="42" fontId="17" fillId="9" borderId="0" xfId="53" applyNumberFormat="1" applyFont="1" applyFill="1"/>
    <xf numFmtId="0" fontId="5" fillId="9" borderId="0" xfId="53" applyFont="1" applyFill="1" applyAlignment="1">
      <alignment horizontal="center"/>
    </xf>
    <xf numFmtId="42" fontId="5" fillId="9" borderId="0" xfId="53" applyNumberFormat="1" applyFont="1" applyFill="1"/>
    <xf numFmtId="44" fontId="5" fillId="0" borderId="10" xfId="53" applyNumberFormat="1" applyFont="1" applyBorder="1"/>
    <xf numFmtId="42" fontId="5" fillId="4" borderId="6" xfId="53" applyNumberFormat="1" applyFont="1" applyFill="1" applyBorder="1"/>
    <xf numFmtId="42" fontId="5" fillId="4" borderId="22" xfId="53" applyNumberFormat="1" applyFont="1" applyFill="1" applyBorder="1"/>
    <xf numFmtId="5" fontId="17" fillId="0" borderId="62" xfId="53" applyNumberFormat="1" applyFont="1" applyBorder="1"/>
    <xf numFmtId="3" fontId="5" fillId="22" borderId="9" xfId="53" applyNumberFormat="1" applyFont="1" applyFill="1" applyBorder="1"/>
    <xf numFmtId="42" fontId="5" fillId="4" borderId="7" xfId="53" applyNumberFormat="1" applyFont="1" applyFill="1" applyBorder="1"/>
    <xf numFmtId="42" fontId="5" fillId="4" borderId="24" xfId="53" applyNumberFormat="1" applyFont="1" applyFill="1" applyBorder="1"/>
    <xf numFmtId="4" fontId="5" fillId="0" borderId="7" xfId="53" applyNumberFormat="1" applyFont="1" applyBorder="1"/>
    <xf numFmtId="5" fontId="17" fillId="0" borderId="0" xfId="53" applyNumberFormat="1" applyFont="1" applyAlignment="1">
      <alignment horizontal="center"/>
    </xf>
    <xf numFmtId="177" fontId="5" fillId="4" borderId="0" xfId="53" applyNumberFormat="1" applyFont="1" applyFill="1" applyAlignment="1">
      <alignment horizontal="center"/>
    </xf>
    <xf numFmtId="42" fontId="5" fillId="4" borderId="0" xfId="53" applyNumberFormat="1" applyFont="1" applyFill="1"/>
    <xf numFmtId="0" fontId="30" fillId="4" borderId="0" xfId="53" applyFont="1" applyFill="1" applyAlignment="1">
      <alignment horizontal="center"/>
    </xf>
    <xf numFmtId="5" fontId="5" fillId="4" borderId="0" xfId="53" applyNumberFormat="1" applyFont="1" applyFill="1"/>
    <xf numFmtId="0" fontId="5" fillId="4" borderId="0" xfId="53" applyFont="1" applyFill="1" applyAlignment="1">
      <alignment horizontal="center"/>
    </xf>
    <xf numFmtId="44" fontId="5" fillId="4" borderId="0" xfId="53" applyNumberFormat="1" applyFont="1" applyFill="1"/>
    <xf numFmtId="0" fontId="17" fillId="21" borderId="0" xfId="53" applyFont="1" applyFill="1" applyAlignment="1">
      <alignment horizontal="left"/>
    </xf>
    <xf numFmtId="0" fontId="5" fillId="24" borderId="59" xfId="53" applyFont="1" applyFill="1" applyBorder="1" applyAlignment="1">
      <alignment horizontal="left"/>
    </xf>
    <xf numFmtId="39" fontId="5" fillId="4" borderId="60" xfId="53" applyNumberFormat="1" applyFont="1" applyFill="1" applyBorder="1"/>
    <xf numFmtId="44" fontId="5" fillId="4" borderId="4" xfId="53" applyNumberFormat="1" applyFont="1" applyFill="1" applyBorder="1"/>
    <xf numFmtId="42" fontId="5" fillId="4" borderId="4" xfId="53" applyNumberFormat="1" applyFont="1" applyFill="1" applyBorder="1"/>
    <xf numFmtId="0" fontId="5" fillId="4" borderId="4" xfId="53" applyFont="1" applyFill="1" applyBorder="1" applyAlignment="1">
      <alignment horizontal="center"/>
    </xf>
    <xf numFmtId="5" fontId="17" fillId="21" borderId="0" xfId="53" applyNumberFormat="1" applyFont="1" applyFill="1" applyAlignment="1">
      <alignment horizontal="left"/>
    </xf>
    <xf numFmtId="5" fontId="17" fillId="21" borderId="59" xfId="53" applyNumberFormat="1" applyFont="1" applyFill="1" applyBorder="1" applyAlignment="1">
      <alignment horizontal="left"/>
    </xf>
    <xf numFmtId="44" fontId="5" fillId="5" borderId="4" xfId="53" applyNumberFormat="1" applyFont="1" applyFill="1" applyBorder="1"/>
    <xf numFmtId="5" fontId="17" fillId="0" borderId="0" xfId="53" applyNumberFormat="1" applyFont="1" applyAlignment="1">
      <alignment horizontal="left"/>
    </xf>
    <xf numFmtId="0" fontId="5" fillId="24" borderId="0" xfId="53" applyFont="1" applyFill="1" applyAlignment="1">
      <alignment horizontal="left"/>
    </xf>
    <xf numFmtId="0" fontId="17" fillId="24" borderId="4" xfId="53" applyFont="1" applyFill="1" applyBorder="1" applyAlignment="1">
      <alignment horizontal="right"/>
    </xf>
    <xf numFmtId="0" fontId="17" fillId="24" borderId="4" xfId="53" applyFont="1" applyFill="1" applyBorder="1" applyAlignment="1">
      <alignment horizontal="left"/>
    </xf>
    <xf numFmtId="177" fontId="5" fillId="9" borderId="4" xfId="53" applyNumberFormat="1" applyFont="1" applyFill="1" applyBorder="1" applyAlignment="1">
      <alignment horizontal="center"/>
    </xf>
    <xf numFmtId="44" fontId="17" fillId="0" borderId="10" xfId="53" applyNumberFormat="1" applyFont="1" applyBorder="1"/>
    <xf numFmtId="3" fontId="5" fillId="28" borderId="4" xfId="53" applyNumberFormat="1" applyFont="1" applyFill="1" applyBorder="1"/>
    <xf numFmtId="164" fontId="17" fillId="0" borderId="4" xfId="53" applyNumberFormat="1" applyFont="1" applyBorder="1"/>
    <xf numFmtId="44" fontId="17" fillId="0" borderId="0" xfId="53" applyNumberFormat="1" applyFont="1"/>
    <xf numFmtId="41" fontId="17" fillId="0" borderId="0" xfId="53" applyNumberFormat="1" applyFont="1"/>
    <xf numFmtId="0" fontId="17" fillId="0" borderId="0" xfId="53" applyFont="1" applyAlignment="1">
      <alignment horizontal="right"/>
    </xf>
    <xf numFmtId="164" fontId="17" fillId="0" borderId="0" xfId="53" applyNumberFormat="1" applyFont="1"/>
    <xf numFmtId="3" fontId="5" fillId="0" borderId="2" xfId="53" applyNumberFormat="1" applyFont="1" applyBorder="1"/>
    <xf numFmtId="3" fontId="5" fillId="22" borderId="2" xfId="53" applyNumberFormat="1" applyFont="1" applyFill="1" applyBorder="1"/>
    <xf numFmtId="4" fontId="5" fillId="0" borderId="2" xfId="53" applyNumberFormat="1" applyFont="1" applyBorder="1"/>
    <xf numFmtId="177" fontId="5" fillId="0" borderId="2" xfId="53" applyNumberFormat="1" applyFont="1" applyBorder="1" applyAlignment="1">
      <alignment horizontal="center"/>
    </xf>
    <xf numFmtId="44" fontId="5" fillId="0" borderId="2" xfId="53" applyNumberFormat="1" applyFont="1" applyBorder="1"/>
    <xf numFmtId="41" fontId="5" fillId="0" borderId="2" xfId="53" applyNumberFormat="1" applyFont="1" applyBorder="1"/>
    <xf numFmtId="41" fontId="17" fillId="0" borderId="2" xfId="53" applyNumberFormat="1" applyFont="1" applyBorder="1"/>
    <xf numFmtId="5" fontId="5" fillId="24" borderId="2" xfId="53" applyNumberFormat="1" applyFont="1" applyFill="1" applyBorder="1" applyAlignment="1">
      <alignment horizontal="left"/>
    </xf>
    <xf numFmtId="0" fontId="5" fillId="0" borderId="2" xfId="53" applyFont="1" applyBorder="1"/>
    <xf numFmtId="44" fontId="17" fillId="0" borderId="2" xfId="53" applyNumberFormat="1" applyFont="1" applyBorder="1"/>
    <xf numFmtId="0" fontId="5" fillId="0" borderId="2" xfId="53" applyFont="1" applyBorder="1" applyAlignment="1">
      <alignment horizontal="center"/>
    </xf>
    <xf numFmtId="43" fontId="5" fillId="0" borderId="2" xfId="53" applyNumberFormat="1" applyFont="1" applyBorder="1"/>
    <xf numFmtId="0" fontId="5" fillId="5" borderId="2" xfId="53" applyFont="1" applyFill="1" applyBorder="1"/>
    <xf numFmtId="5" fontId="17" fillId="24" borderId="9" xfId="53" applyNumberFormat="1" applyFont="1" applyFill="1" applyBorder="1" applyAlignment="1">
      <alignment horizontal="right"/>
    </xf>
    <xf numFmtId="0" fontId="5" fillId="0" borderId="9" xfId="53" applyFont="1" applyBorder="1"/>
    <xf numFmtId="43" fontId="5" fillId="0" borderId="9" xfId="53" applyNumberFormat="1" applyFont="1" applyBorder="1" applyAlignment="1">
      <alignment horizontal="center"/>
    </xf>
    <xf numFmtId="0" fontId="5" fillId="5" borderId="9" xfId="53" applyFont="1" applyFill="1" applyBorder="1"/>
    <xf numFmtId="41" fontId="5" fillId="9" borderId="0" xfId="53" applyNumberFormat="1" applyFont="1" applyFill="1"/>
    <xf numFmtId="0" fontId="5" fillId="5" borderId="4" xfId="53" applyFont="1" applyFill="1" applyBorder="1"/>
    <xf numFmtId="5" fontId="17" fillId="21" borderId="62" xfId="53" applyNumberFormat="1" applyFont="1" applyFill="1" applyBorder="1" applyAlignment="1">
      <alignment horizontal="center"/>
    </xf>
    <xf numFmtId="39" fontId="17" fillId="5" borderId="56" xfId="53" applyNumberFormat="1" applyFont="1" applyFill="1" applyBorder="1"/>
    <xf numFmtId="4" fontId="17" fillId="0" borderId="4" xfId="53" applyNumberFormat="1" applyFont="1" applyBorder="1"/>
    <xf numFmtId="0" fontId="5" fillId="24" borderId="0" xfId="53" applyFont="1" applyFill="1"/>
    <xf numFmtId="0" fontId="5" fillId="24" borderId="2" xfId="53" applyFont="1" applyFill="1" applyBorder="1" applyAlignment="1">
      <alignment horizontal="left"/>
    </xf>
    <xf numFmtId="5" fontId="5" fillId="24" borderId="0" xfId="53" quotePrefix="1" applyNumberFormat="1" applyFont="1" applyFill="1" applyAlignment="1">
      <alignment horizontal="left"/>
    </xf>
    <xf numFmtId="0" fontId="17" fillId="24" borderId="0" xfId="53" applyFont="1" applyFill="1" applyAlignment="1">
      <alignment horizontal="right"/>
    </xf>
    <xf numFmtId="42" fontId="17" fillId="0" borderId="0" xfId="53" applyNumberFormat="1" applyFont="1"/>
    <xf numFmtId="41" fontId="17" fillId="29" borderId="9" xfId="53" applyNumberFormat="1" applyFont="1" applyFill="1" applyBorder="1"/>
    <xf numFmtId="41" fontId="5" fillId="29" borderId="0" xfId="53" applyNumberFormat="1" applyFont="1" applyFill="1"/>
    <xf numFmtId="5" fontId="17" fillId="0" borderId="0" xfId="53" applyNumberFormat="1" applyFont="1" applyAlignment="1">
      <alignment horizontal="right"/>
    </xf>
    <xf numFmtId="4" fontId="17" fillId="0" borderId="0" xfId="53" applyNumberFormat="1" applyFont="1"/>
    <xf numFmtId="5" fontId="5" fillId="0" borderId="10" xfId="53" applyNumberFormat="1" applyFont="1" applyBorder="1"/>
    <xf numFmtId="0" fontId="5" fillId="0" borderId="10" xfId="53" applyFont="1" applyBorder="1"/>
    <xf numFmtId="4" fontId="17" fillId="5" borderId="63" xfId="53" applyNumberFormat="1" applyFont="1" applyFill="1" applyBorder="1"/>
    <xf numFmtId="41" fontId="17" fillId="0" borderId="9" xfId="53" applyNumberFormat="1" applyFont="1" applyBorder="1"/>
    <xf numFmtId="5" fontId="17" fillId="24" borderId="6" xfId="53" applyNumberFormat="1" applyFont="1" applyFill="1" applyBorder="1" applyAlignment="1">
      <alignment horizontal="right"/>
    </xf>
    <xf numFmtId="0" fontId="5" fillId="0" borderId="6" xfId="53" applyFont="1" applyBorder="1"/>
    <xf numFmtId="3" fontId="5" fillId="28" borderId="6" xfId="53" applyNumberFormat="1" applyFont="1" applyFill="1" applyBorder="1"/>
    <xf numFmtId="3" fontId="5" fillId="0" borderId="6" xfId="53" applyNumberFormat="1" applyFont="1" applyBorder="1"/>
    <xf numFmtId="4" fontId="17" fillId="0" borderId="6" xfId="53" applyNumberFormat="1" applyFont="1" applyBorder="1"/>
    <xf numFmtId="177" fontId="5" fillId="0" borderId="6" xfId="53" applyNumberFormat="1" applyFont="1" applyBorder="1" applyAlignment="1">
      <alignment horizontal="center"/>
    </xf>
    <xf numFmtId="44" fontId="17" fillId="0" borderId="6" xfId="53" applyNumberFormat="1" applyFont="1" applyBorder="1"/>
    <xf numFmtId="42" fontId="17" fillId="0" borderId="6" xfId="53" applyNumberFormat="1" applyFont="1" applyBorder="1"/>
    <xf numFmtId="5" fontId="17" fillId="27" borderId="10" xfId="53" applyNumberFormat="1" applyFont="1" applyFill="1" applyBorder="1" applyAlignment="1">
      <alignment horizontal="center"/>
    </xf>
    <xf numFmtId="42" fontId="5" fillId="5" borderId="0" xfId="53" applyNumberFormat="1" applyFont="1" applyFill="1"/>
    <xf numFmtId="0" fontId="5" fillId="0" borderId="2" xfId="53" applyFont="1" applyBorder="1" applyAlignment="1">
      <alignment horizontal="left"/>
    </xf>
    <xf numFmtId="5" fontId="17" fillId="27" borderId="10" xfId="53" applyNumberFormat="1" applyFont="1" applyFill="1" applyBorder="1" applyAlignment="1">
      <alignment horizontal="left"/>
    </xf>
    <xf numFmtId="0" fontId="5" fillId="21" borderId="11" xfId="53" applyFont="1" applyFill="1" applyBorder="1"/>
    <xf numFmtId="3" fontId="5" fillId="30" borderId="4" xfId="53" applyNumberFormat="1" applyFont="1" applyFill="1" applyBorder="1"/>
    <xf numFmtId="0" fontId="5" fillId="5" borderId="3" xfId="53" applyFont="1" applyFill="1" applyBorder="1"/>
    <xf numFmtId="1" fontId="5" fillId="0" borderId="0" xfId="53" applyNumberFormat="1" applyFont="1"/>
    <xf numFmtId="0" fontId="17" fillId="0" borderId="10" xfId="53" applyFont="1" applyBorder="1"/>
    <xf numFmtId="42" fontId="17" fillId="0" borderId="11" xfId="53" applyNumberFormat="1" applyFont="1" applyBorder="1"/>
    <xf numFmtId="0" fontId="30" fillId="4" borderId="0" xfId="53" applyFont="1" applyFill="1"/>
    <xf numFmtId="44" fontId="5" fillId="0" borderId="11" xfId="53" applyNumberFormat="1" applyFont="1" applyBorder="1"/>
    <xf numFmtId="42" fontId="5" fillId="0" borderId="11" xfId="53" applyNumberFormat="1" applyFont="1" applyBorder="1"/>
    <xf numFmtId="0" fontId="5" fillId="22" borderId="0" xfId="53" applyFont="1" applyFill="1"/>
    <xf numFmtId="44" fontId="5" fillId="29" borderId="0" xfId="53" applyNumberFormat="1" applyFont="1" applyFill="1"/>
    <xf numFmtId="4" fontId="16" fillId="0" borderId="0" xfId="54" applyNumberFormat="1"/>
    <xf numFmtId="41" fontId="5" fillId="31" borderId="0" xfId="53" applyNumberFormat="1" applyFont="1" applyFill="1"/>
    <xf numFmtId="178" fontId="5" fillId="0" borderId="0" xfId="53" applyNumberFormat="1" applyFont="1"/>
    <xf numFmtId="0" fontId="18" fillId="0" borderId="54" xfId="53" applyFont="1" applyBorder="1"/>
    <xf numFmtId="4" fontId="5" fillId="5" borderId="0" xfId="53" applyNumberFormat="1" applyFont="1" applyFill="1"/>
    <xf numFmtId="171" fontId="5" fillId="0" borderId="0" xfId="53" applyNumberFormat="1" applyFont="1"/>
    <xf numFmtId="0" fontId="18" fillId="0" borderId="23" xfId="53" applyFont="1" applyBorder="1"/>
    <xf numFmtId="4" fontId="5" fillId="0" borderId="0" xfId="53" applyNumberFormat="1" applyFont="1" applyAlignment="1">
      <alignment horizontal="left"/>
    </xf>
    <xf numFmtId="41" fontId="5" fillId="9" borderId="2" xfId="53" applyNumberFormat="1" applyFont="1" applyFill="1" applyBorder="1"/>
    <xf numFmtId="0" fontId="17" fillId="0" borderId="3" xfId="53" applyFont="1" applyBorder="1"/>
    <xf numFmtId="4" fontId="17" fillId="0" borderId="3" xfId="53" applyNumberFormat="1" applyFont="1" applyBorder="1"/>
    <xf numFmtId="3" fontId="17" fillId="0" borderId="3" xfId="53" applyNumberFormat="1" applyFont="1" applyBorder="1"/>
    <xf numFmtId="41" fontId="5" fillId="18" borderId="0" xfId="53" applyNumberFormat="1" applyFont="1" applyFill="1"/>
    <xf numFmtId="0" fontId="5" fillId="18" borderId="0" xfId="53" applyFont="1" applyFill="1" applyAlignment="1">
      <alignment horizontal="center"/>
    </xf>
    <xf numFmtId="171" fontId="5" fillId="18" borderId="0" xfId="53" applyNumberFormat="1" applyFont="1" applyFill="1"/>
    <xf numFmtId="0" fontId="17" fillId="0" borderId="2" xfId="53" applyFont="1" applyBorder="1"/>
    <xf numFmtId="42" fontId="5" fillId="0" borderId="23" xfId="53" applyNumberFormat="1" applyFont="1" applyBorder="1"/>
    <xf numFmtId="41" fontId="5" fillId="0" borderId="23" xfId="53" applyNumberFormat="1" applyFont="1" applyBorder="1"/>
    <xf numFmtId="0" fontId="18" fillId="0" borderId="0" xfId="53" applyFont="1"/>
    <xf numFmtId="0" fontId="18" fillId="0" borderId="27" xfId="53" applyFont="1" applyBorder="1"/>
    <xf numFmtId="4" fontId="5" fillId="5" borderId="2" xfId="53" applyNumberFormat="1" applyFont="1" applyFill="1" applyBorder="1"/>
    <xf numFmtId="171" fontId="5" fillId="0" borderId="2" xfId="53" applyNumberFormat="1" applyFont="1" applyBorder="1"/>
    <xf numFmtId="41" fontId="5" fillId="0" borderId="27" xfId="53" applyNumberFormat="1" applyFont="1" applyBorder="1"/>
    <xf numFmtId="42" fontId="5" fillId="0" borderId="3" xfId="53" applyNumberFormat="1" applyFont="1" applyBorder="1"/>
    <xf numFmtId="171" fontId="5" fillId="0" borderId="3" xfId="53" applyNumberFormat="1" applyFont="1" applyBorder="1"/>
    <xf numFmtId="42" fontId="5" fillId="0" borderId="10" xfId="53" applyNumberFormat="1" applyFont="1" applyBorder="1"/>
    <xf numFmtId="39" fontId="5" fillId="0" borderId="0" xfId="53" applyNumberFormat="1" applyFont="1"/>
    <xf numFmtId="0" fontId="17" fillId="0" borderId="6" xfId="53" applyFont="1" applyBorder="1" applyAlignment="1">
      <alignment horizontal="center"/>
    </xf>
    <xf numFmtId="0" fontId="17" fillId="0" borderId="4" xfId="53" applyFont="1" applyBorder="1" applyAlignment="1">
      <alignment horizontal="center"/>
    </xf>
    <xf numFmtId="0" fontId="17" fillId="0" borderId="7" xfId="53" applyFont="1" applyBorder="1" applyAlignment="1">
      <alignment horizontal="center"/>
    </xf>
    <xf numFmtId="0" fontId="17" fillId="0" borderId="22" xfId="53" applyFont="1" applyBorder="1" applyAlignment="1">
      <alignment horizontal="center"/>
    </xf>
    <xf numFmtId="0" fontId="5" fillId="0" borderId="24" xfId="53" applyFont="1" applyBorder="1"/>
    <xf numFmtId="0" fontId="5" fillId="0" borderId="0" xfId="53" applyFont="1" applyAlignment="1">
      <alignment horizontal="right" vertical="center"/>
    </xf>
    <xf numFmtId="42" fontId="2" fillId="2" borderId="0" xfId="53" applyNumberFormat="1" applyFont="1" applyFill="1"/>
    <xf numFmtId="42" fontId="5" fillId="18" borderId="0" xfId="53" applyNumberFormat="1" applyFont="1" applyFill="1"/>
    <xf numFmtId="42" fontId="5" fillId="0" borderId="7" xfId="53" applyNumberFormat="1" applyFont="1" applyBorder="1"/>
    <xf numFmtId="42" fontId="5" fillId="0" borderId="24" xfId="53" applyNumberFormat="1" applyFont="1" applyBorder="1"/>
    <xf numFmtId="41" fontId="14" fillId="2" borderId="0" xfId="53" applyNumberFormat="1" applyFill="1"/>
    <xf numFmtId="41" fontId="5" fillId="0" borderId="7" xfId="53" applyNumberFormat="1" applyFont="1" applyBorder="1"/>
    <xf numFmtId="41" fontId="5" fillId="0" borderId="24" xfId="53" applyNumberFormat="1" applyFont="1" applyBorder="1"/>
    <xf numFmtId="3" fontId="5" fillId="0" borderId="0" xfId="53" applyNumberFormat="1" applyFont="1" applyAlignment="1">
      <alignment horizontal="right" vertical="center"/>
    </xf>
    <xf numFmtId="41" fontId="5" fillId="18" borderId="2" xfId="53" applyNumberFormat="1" applyFont="1" applyFill="1" applyBorder="1"/>
    <xf numFmtId="0" fontId="30" fillId="0" borderId="3" xfId="53" applyFont="1" applyBorder="1"/>
    <xf numFmtId="42" fontId="5" fillId="0" borderId="9" xfId="53" applyNumberFormat="1" applyFont="1" applyBorder="1" applyAlignment="1">
      <alignment horizontal="center"/>
    </xf>
    <xf numFmtId="0" fontId="38" fillId="9" borderId="0" xfId="53" applyFont="1" applyFill="1" applyAlignment="1">
      <alignment horizontal="center"/>
    </xf>
    <xf numFmtId="0" fontId="2" fillId="0" borderId="0" xfId="57" applyFont="1"/>
    <xf numFmtId="42" fontId="2" fillId="0" borderId="0" xfId="57" applyNumberFormat="1" applyFont="1"/>
    <xf numFmtId="0" fontId="2" fillId="0" borderId="64" xfId="57" applyFont="1" applyBorder="1" applyAlignment="1">
      <alignment horizontal="centerContinuous"/>
    </xf>
    <xf numFmtId="0" fontId="2" fillId="0" borderId="65" xfId="57" applyFont="1" applyBorder="1" applyAlignment="1">
      <alignment horizontal="centerContinuous"/>
    </xf>
    <xf numFmtId="0" fontId="2" fillId="0" borderId="6" xfId="57" applyFont="1" applyBorder="1" applyAlignment="1">
      <alignment horizontal="centerContinuous"/>
    </xf>
    <xf numFmtId="0" fontId="2" fillId="0" borderId="6" xfId="57" applyFont="1" applyBorder="1" applyAlignment="1">
      <alignment horizontal="center" wrapText="1"/>
    </xf>
    <xf numFmtId="0" fontId="2" fillId="0" borderId="0" xfId="57" applyFont="1" applyAlignment="1">
      <alignment horizontal="center" wrapText="1"/>
    </xf>
    <xf numFmtId="0" fontId="41" fillId="0" borderId="54" xfId="53" applyFont="1" applyBorder="1"/>
    <xf numFmtId="0" fontId="41" fillId="0" borderId="51" xfId="53" applyFont="1" applyBorder="1"/>
    <xf numFmtId="176" fontId="41" fillId="16" borderId="21" xfId="53" applyNumberFormat="1" applyFont="1" applyFill="1" applyBorder="1" applyAlignment="1" applyProtection="1">
      <alignment horizontal="right"/>
      <protection locked="0"/>
    </xf>
    <xf numFmtId="5" fontId="42" fillId="0" borderId="6" xfId="57" applyNumberFormat="1" applyFont="1" applyBorder="1"/>
    <xf numFmtId="0" fontId="41" fillId="0" borderId="23" xfId="53" applyFont="1" applyBorder="1"/>
    <xf numFmtId="0" fontId="41" fillId="0" borderId="0" xfId="53" applyFont="1"/>
    <xf numFmtId="176" fontId="41" fillId="16" borderId="23" xfId="53" applyNumberFormat="1" applyFont="1" applyFill="1" applyBorder="1" applyAlignment="1" applyProtection="1">
      <alignment horizontal="right"/>
      <protection locked="0"/>
    </xf>
    <xf numFmtId="5" fontId="42" fillId="0" borderId="7" xfId="57" applyNumberFormat="1" applyFont="1" applyBorder="1"/>
    <xf numFmtId="176" fontId="41" fillId="16" borderId="7" xfId="53" applyNumberFormat="1" applyFont="1" applyFill="1" applyBorder="1" applyAlignment="1" applyProtection="1">
      <alignment horizontal="right"/>
      <protection locked="0"/>
    </xf>
    <xf numFmtId="5" fontId="42" fillId="5" borderId="7" xfId="57" applyNumberFormat="1" applyFont="1" applyFill="1" applyBorder="1"/>
    <xf numFmtId="44" fontId="2" fillId="0" borderId="0" xfId="57" applyNumberFormat="1" applyFont="1"/>
    <xf numFmtId="0" fontId="2" fillId="0" borderId="23" xfId="57" applyFont="1" applyBorder="1"/>
    <xf numFmtId="0" fontId="2" fillId="0" borderId="24" xfId="57" applyFont="1" applyBorder="1"/>
    <xf numFmtId="0" fontId="2" fillId="0" borderId="27" xfId="57" applyFont="1" applyBorder="1"/>
    <xf numFmtId="0" fontId="2" fillId="0" borderId="2" xfId="57" applyFont="1" applyBorder="1"/>
    <xf numFmtId="0" fontId="2" fillId="0" borderId="28" xfId="57" applyFont="1" applyBorder="1"/>
    <xf numFmtId="49" fontId="43" fillId="0" borderId="0" xfId="53" applyNumberFormat="1" applyFont="1"/>
    <xf numFmtId="0" fontId="43" fillId="0" borderId="0" xfId="58" applyFont="1"/>
    <xf numFmtId="3" fontId="43" fillId="0" borderId="0" xfId="58" applyNumberFormat="1" applyFont="1"/>
    <xf numFmtId="4" fontId="43" fillId="0" borderId="0" xfId="58" applyNumberFormat="1" applyFont="1"/>
    <xf numFmtId="0" fontId="44" fillId="0" borderId="0" xfId="58"/>
    <xf numFmtId="49" fontId="43" fillId="0" borderId="0" xfId="58" applyNumberFormat="1" applyFont="1"/>
    <xf numFmtId="3" fontId="43" fillId="0" borderId="0" xfId="58" applyNumberFormat="1" applyFont="1" applyAlignment="1">
      <alignment horizontal="right"/>
    </xf>
    <xf numFmtId="4" fontId="43" fillId="0" borderId="0" xfId="58" applyNumberFormat="1" applyFont="1" applyAlignment="1">
      <alignment horizontal="right"/>
    </xf>
    <xf numFmtId="0" fontId="43" fillId="0" borderId="0" xfId="58" applyFont="1" applyAlignment="1">
      <alignment horizontal="right"/>
    </xf>
    <xf numFmtId="174" fontId="1" fillId="32" borderId="0" xfId="56" applyNumberFormat="1" applyFill="1"/>
    <xf numFmtId="0" fontId="16" fillId="0" borderId="0" xfId="54"/>
    <xf numFmtId="179" fontId="16" fillId="0" borderId="0" xfId="54" applyNumberFormat="1"/>
    <xf numFmtId="179" fontId="16" fillId="0" borderId="0" xfId="54" applyNumberFormat="1" applyAlignment="1">
      <alignment horizontal="right"/>
    </xf>
    <xf numFmtId="174" fontId="1" fillId="0" borderId="0" xfId="59" applyNumberFormat="1"/>
    <xf numFmtId="0" fontId="1" fillId="0" borderId="0" xfId="59"/>
    <xf numFmtId="179" fontId="1" fillId="0" borderId="0" xfId="59" applyNumberFormat="1"/>
    <xf numFmtId="180" fontId="1" fillId="0" borderId="0" xfId="59" applyNumberFormat="1"/>
    <xf numFmtId="0" fontId="1" fillId="0" borderId="6" xfId="59" applyBorder="1"/>
    <xf numFmtId="179" fontId="1" fillId="0" borderId="6" xfId="59" applyNumberFormat="1" applyBorder="1"/>
    <xf numFmtId="180" fontId="1" fillId="0" borderId="6" xfId="59" applyNumberFormat="1" applyBorder="1"/>
    <xf numFmtId="0" fontId="1" fillId="0" borderId="9" xfId="59" applyBorder="1"/>
    <xf numFmtId="179" fontId="1" fillId="0" borderId="9" xfId="59" applyNumberFormat="1" applyBorder="1"/>
    <xf numFmtId="180" fontId="1" fillId="0" borderId="9" xfId="59" applyNumberFormat="1" applyBorder="1"/>
    <xf numFmtId="174" fontId="16" fillId="0" borderId="0" xfId="54" applyNumberFormat="1"/>
    <xf numFmtId="3" fontId="14" fillId="0" borderId="0" xfId="53" applyNumberFormat="1"/>
    <xf numFmtId="180" fontId="19" fillId="0" borderId="4" xfId="54" applyNumberFormat="1" applyFont="1" applyBorder="1"/>
    <xf numFmtId="4" fontId="19" fillId="0" borderId="0" xfId="54" applyNumberFormat="1" applyFont="1"/>
    <xf numFmtId="174" fontId="44" fillId="0" borderId="0" xfId="58" applyNumberFormat="1"/>
    <xf numFmtId="3" fontId="44" fillId="0" borderId="0" xfId="58" applyNumberFormat="1"/>
    <xf numFmtId="4" fontId="44" fillId="0" borderId="0" xfId="58" applyNumberFormat="1"/>
    <xf numFmtId="0" fontId="16" fillId="0" borderId="6" xfId="54" applyBorder="1"/>
    <xf numFmtId="179" fontId="16" fillId="0" borderId="6" xfId="54" applyNumberFormat="1" applyBorder="1"/>
    <xf numFmtId="4" fontId="16" fillId="0" borderId="6" xfId="54" applyNumberFormat="1" applyBorder="1"/>
    <xf numFmtId="0" fontId="16" fillId="0" borderId="7" xfId="54" applyBorder="1"/>
    <xf numFmtId="179" fontId="16" fillId="0" borderId="7" xfId="54" applyNumberFormat="1" applyBorder="1"/>
    <xf numFmtId="4" fontId="16" fillId="0" borderId="7" xfId="54" applyNumberFormat="1" applyBorder="1"/>
    <xf numFmtId="0" fontId="16" fillId="0" borderId="9" xfId="54" applyBorder="1"/>
    <xf numFmtId="179" fontId="16" fillId="0" borderId="9" xfId="54" applyNumberFormat="1" applyBorder="1"/>
    <xf numFmtId="4" fontId="16" fillId="0" borderId="9" xfId="54" applyNumberFormat="1" applyBorder="1"/>
    <xf numFmtId="4" fontId="19" fillId="0" borderId="4" xfId="54" applyNumberFormat="1" applyFont="1" applyBorder="1"/>
    <xf numFmtId="4" fontId="16" fillId="9" borderId="0" xfId="54" applyNumberFormat="1" applyFill="1"/>
    <xf numFmtId="4" fontId="16" fillId="9" borderId="6" xfId="54" applyNumberFormat="1" applyFill="1" applyBorder="1"/>
    <xf numFmtId="49" fontId="14" fillId="0" borderId="0" xfId="53" applyNumberFormat="1"/>
    <xf numFmtId="174" fontId="14" fillId="0" borderId="0" xfId="53" applyNumberFormat="1"/>
    <xf numFmtId="49" fontId="14" fillId="0" borderId="7" xfId="53" applyNumberFormat="1" applyBorder="1"/>
    <xf numFmtId="3" fontId="14" fillId="0" borderId="9" xfId="53" applyNumberFormat="1" applyBorder="1"/>
    <xf numFmtId="4" fontId="14" fillId="0" borderId="7" xfId="53" applyNumberFormat="1" applyBorder="1"/>
    <xf numFmtId="0" fontId="14" fillId="0" borderId="0" xfId="53"/>
    <xf numFmtId="49" fontId="14" fillId="0" borderId="6" xfId="53" applyNumberFormat="1" applyBorder="1" applyAlignment="1">
      <alignment horizontal="right"/>
    </xf>
    <xf numFmtId="3" fontId="14" fillId="0" borderId="6" xfId="53" applyNumberFormat="1" applyBorder="1"/>
    <xf numFmtId="4" fontId="14" fillId="0" borderId="6" xfId="53" applyNumberFormat="1" applyBorder="1"/>
    <xf numFmtId="0" fontId="14" fillId="0" borderId="7" xfId="53" applyBorder="1" applyAlignment="1">
      <alignment horizontal="right"/>
    </xf>
    <xf numFmtId="3" fontId="14" fillId="0" borderId="7" xfId="53" applyNumberFormat="1" applyBorder="1"/>
    <xf numFmtId="49" fontId="14" fillId="0" borderId="9" xfId="53" applyNumberFormat="1" applyBorder="1"/>
    <xf numFmtId="4" fontId="14" fillId="0" borderId="9" xfId="53" applyNumberFormat="1" applyBorder="1"/>
    <xf numFmtId="179" fontId="16" fillId="9" borderId="9" xfId="54" applyNumberFormat="1" applyFill="1" applyBorder="1"/>
    <xf numFmtId="4" fontId="44" fillId="0" borderId="9" xfId="58" applyNumberFormat="1" applyBorder="1"/>
    <xf numFmtId="179" fontId="16" fillId="9" borderId="0" xfId="54" applyNumberFormat="1" applyFill="1"/>
    <xf numFmtId="3" fontId="44" fillId="0" borderId="6" xfId="58" applyNumberFormat="1" applyBorder="1"/>
    <xf numFmtId="4" fontId="44" fillId="0" borderId="6" xfId="58" applyNumberFormat="1" applyBorder="1"/>
    <xf numFmtId="3" fontId="44" fillId="0" borderId="9" xfId="58" applyNumberFormat="1" applyBorder="1"/>
    <xf numFmtId="4" fontId="44" fillId="0" borderId="7" xfId="58" applyNumberFormat="1" applyBorder="1"/>
    <xf numFmtId="4" fontId="16" fillId="9" borderId="7" xfId="54" applyNumberFormat="1" applyFill="1" applyBorder="1"/>
    <xf numFmtId="4" fontId="16" fillId="9" borderId="9" xfId="54" applyNumberFormat="1" applyFill="1" applyBorder="1"/>
    <xf numFmtId="4" fontId="43" fillId="0" borderId="4" xfId="58" applyNumberFormat="1" applyFont="1" applyBorder="1"/>
    <xf numFmtId="179" fontId="16" fillId="0" borderId="6" xfId="54" applyNumberFormat="1" applyBorder="1" applyAlignment="1">
      <alignment horizontal="left"/>
    </xf>
    <xf numFmtId="174" fontId="16" fillId="0" borderId="0" xfId="54" applyNumberFormat="1" applyAlignment="1">
      <alignment horizontal="right"/>
    </xf>
    <xf numFmtId="0" fontId="16" fillId="0" borderId="0" xfId="54" applyAlignment="1">
      <alignment horizontal="right"/>
    </xf>
    <xf numFmtId="179" fontId="16" fillId="0" borderId="6" xfId="54" applyNumberFormat="1" applyBorder="1" applyAlignment="1">
      <alignment horizontal="right"/>
    </xf>
    <xf numFmtId="180" fontId="16" fillId="0" borderId="6" xfId="54" applyNumberFormat="1" applyBorder="1" applyAlignment="1">
      <alignment horizontal="right"/>
    </xf>
    <xf numFmtId="174" fontId="1" fillId="0" borderId="7" xfId="60" applyNumberFormat="1" applyBorder="1"/>
    <xf numFmtId="174" fontId="1" fillId="0" borderId="0" xfId="60" applyNumberFormat="1"/>
    <xf numFmtId="179" fontId="1" fillId="0" borderId="0" xfId="60" applyNumberFormat="1"/>
    <xf numFmtId="180" fontId="1" fillId="0" borderId="7" xfId="60" applyNumberFormat="1" applyBorder="1"/>
    <xf numFmtId="0" fontId="1" fillId="0" borderId="0" xfId="60"/>
    <xf numFmtId="180" fontId="1" fillId="0" borderId="0" xfId="60" applyNumberFormat="1"/>
    <xf numFmtId="174" fontId="16" fillId="9" borderId="7" xfId="54" applyNumberFormat="1" applyFill="1" applyBorder="1"/>
    <xf numFmtId="180" fontId="16" fillId="0" borderId="7" xfId="54" applyNumberFormat="1" applyBorder="1"/>
    <xf numFmtId="174" fontId="16" fillId="9" borderId="9" xfId="54" applyNumberFormat="1" applyFill="1" applyBorder="1"/>
    <xf numFmtId="179" fontId="1" fillId="0" borderId="9" xfId="60" applyNumberFormat="1" applyBorder="1"/>
    <xf numFmtId="180" fontId="1" fillId="0" borderId="9" xfId="60" applyNumberFormat="1" applyBorder="1"/>
    <xf numFmtId="180" fontId="15" fillId="0" borderId="4" xfId="60" applyNumberFormat="1" applyFont="1" applyBorder="1"/>
    <xf numFmtId="49" fontId="44" fillId="0" borderId="0" xfId="58" applyNumberFormat="1"/>
    <xf numFmtId="4" fontId="14" fillId="0" borderId="0" xfId="53" applyNumberFormat="1"/>
    <xf numFmtId="179" fontId="16" fillId="0" borderId="0" xfId="54" applyNumberFormat="1" applyAlignment="1">
      <alignment wrapText="1"/>
    </xf>
    <xf numFmtId="3" fontId="44" fillId="0" borderId="7" xfId="58" applyNumberFormat="1" applyBorder="1"/>
    <xf numFmtId="49" fontId="2" fillId="0" borderId="0" xfId="53" applyNumberFormat="1" applyFont="1"/>
    <xf numFmtId="49" fontId="14" fillId="0" borderId="9" xfId="53" applyNumberFormat="1" applyBorder="1" applyAlignment="1">
      <alignment horizontal="right"/>
    </xf>
    <xf numFmtId="0" fontId="14" fillId="0" borderId="9" xfId="53" applyBorder="1" applyAlignment="1">
      <alignment horizontal="right"/>
    </xf>
    <xf numFmtId="174" fontId="16" fillId="0" borderId="0" xfId="61" applyNumberFormat="1"/>
    <xf numFmtId="174" fontId="16" fillId="0" borderId="6" xfId="54" applyNumberFormat="1" applyBorder="1"/>
    <xf numFmtId="174" fontId="1" fillId="0" borderId="0" xfId="62" applyNumberFormat="1"/>
    <xf numFmtId="179" fontId="1" fillId="0" borderId="6" xfId="62" applyNumberFormat="1" applyBorder="1"/>
    <xf numFmtId="179" fontId="1" fillId="0" borderId="0" xfId="62" applyNumberFormat="1"/>
    <xf numFmtId="180" fontId="1" fillId="0" borderId="6" xfId="62" applyNumberFormat="1" applyBorder="1"/>
    <xf numFmtId="0" fontId="1" fillId="0" borderId="0" xfId="62"/>
    <xf numFmtId="174" fontId="1" fillId="0" borderId="0" xfId="56" applyNumberFormat="1"/>
    <xf numFmtId="179" fontId="1" fillId="0" borderId="0" xfId="56" applyNumberFormat="1"/>
    <xf numFmtId="4" fontId="1" fillId="9" borderId="6" xfId="56" applyNumberFormat="1" applyFill="1" applyBorder="1"/>
    <xf numFmtId="4" fontId="1" fillId="9" borderId="7" xfId="56" applyNumberFormat="1" applyFill="1" applyBorder="1"/>
    <xf numFmtId="0" fontId="1" fillId="0" borderId="6" xfId="56" applyBorder="1"/>
    <xf numFmtId="179" fontId="1" fillId="0" borderId="6" xfId="56" applyNumberFormat="1" applyBorder="1"/>
    <xf numFmtId="2" fontId="14" fillId="0" borderId="6" xfId="53" applyNumberFormat="1" applyBorder="1"/>
    <xf numFmtId="0" fontId="16" fillId="9" borderId="0" xfId="54" applyFill="1"/>
    <xf numFmtId="0" fontId="1" fillId="0" borderId="9" xfId="56" applyBorder="1"/>
    <xf numFmtId="179" fontId="1" fillId="0" borderId="9" xfId="56" applyNumberFormat="1" applyBorder="1"/>
    <xf numFmtId="2" fontId="14" fillId="0" borderId="9" xfId="53" applyNumberFormat="1" applyBorder="1"/>
    <xf numFmtId="0" fontId="1" fillId="0" borderId="0" xfId="56"/>
    <xf numFmtId="2" fontId="14" fillId="0" borderId="0" xfId="53" applyNumberFormat="1"/>
    <xf numFmtId="4" fontId="1" fillId="0" borderId="0" xfId="56" applyNumberFormat="1"/>
    <xf numFmtId="4" fontId="1" fillId="0" borderId="6" xfId="56" applyNumberFormat="1" applyBorder="1"/>
    <xf numFmtId="4" fontId="1" fillId="0" borderId="9" xfId="56" applyNumberFormat="1" applyBorder="1"/>
    <xf numFmtId="2" fontId="14" fillId="9" borderId="6" xfId="53" applyNumberFormat="1" applyFill="1" applyBorder="1"/>
    <xf numFmtId="2" fontId="14" fillId="9" borderId="9" xfId="53" applyNumberFormat="1" applyFill="1" applyBorder="1"/>
    <xf numFmtId="2" fontId="14" fillId="9" borderId="0" xfId="53" applyNumberFormat="1" applyFill="1"/>
    <xf numFmtId="4" fontId="1" fillId="9" borderId="0" xfId="56" applyNumberFormat="1" applyFill="1"/>
    <xf numFmtId="4" fontId="1" fillId="0" borderId="7" xfId="56" applyNumberFormat="1" applyBorder="1"/>
    <xf numFmtId="49" fontId="44" fillId="32" borderId="0" xfId="58" applyNumberFormat="1" applyFill="1"/>
    <xf numFmtId="174" fontId="44" fillId="32" borderId="0" xfId="58" applyNumberFormat="1" applyFill="1"/>
    <xf numFmtId="0" fontId="4" fillId="0" borderId="0" xfId="57" applyFont="1"/>
    <xf numFmtId="0" fontId="2" fillId="0" borderId="2" xfId="57" applyFont="1" applyBorder="1" applyAlignment="1">
      <alignment horizontal="center" wrapText="1"/>
    </xf>
    <xf numFmtId="0" fontId="2" fillId="0" borderId="2" xfId="57" applyFont="1" applyBorder="1" applyAlignment="1">
      <alignment horizontal="center"/>
    </xf>
    <xf numFmtId="176" fontId="2" fillId="0" borderId="0" xfId="53" applyNumberFormat="1" applyFont="1"/>
    <xf numFmtId="176" fontId="41" fillId="16" borderId="66" xfId="53" applyNumberFormat="1" applyFont="1" applyFill="1" applyBorder="1" applyAlignment="1" applyProtection="1">
      <alignment horizontal="right"/>
      <protection locked="0"/>
    </xf>
    <xf numFmtId="176" fontId="41" fillId="16" borderId="24" xfId="53" applyNumberFormat="1" applyFont="1" applyFill="1" applyBorder="1" applyAlignment="1" applyProtection="1">
      <alignment horizontal="right"/>
      <protection locked="0"/>
    </xf>
    <xf numFmtId="41" fontId="2" fillId="0" borderId="0" xfId="57" applyNumberFormat="1" applyFont="1"/>
    <xf numFmtId="176" fontId="41" fillId="16" borderId="24" xfId="53" applyNumberFormat="1" applyFont="1" applyFill="1" applyBorder="1" applyAlignment="1" applyProtection="1">
      <alignment horizontal="center"/>
      <protection locked="0"/>
    </xf>
    <xf numFmtId="176" fontId="41" fillId="16" borderId="0" xfId="53" applyNumberFormat="1" applyFont="1" applyFill="1" applyAlignment="1" applyProtection="1">
      <alignment horizontal="right"/>
      <protection locked="0"/>
    </xf>
    <xf numFmtId="0" fontId="4" fillId="0" borderId="0" xfId="57" applyFont="1" applyAlignment="1">
      <alignment horizontal="left"/>
    </xf>
    <xf numFmtId="0" fontId="2" fillId="0" borderId="21" xfId="57" applyFont="1" applyBorder="1"/>
    <xf numFmtId="5" fontId="41" fillId="0" borderId="26" xfId="57" applyNumberFormat="1" applyFont="1" applyBorder="1"/>
    <xf numFmtId="0" fontId="2" fillId="0" borderId="0" xfId="57" applyFont="1" applyAlignment="1">
      <alignment horizontal="center"/>
    </xf>
    <xf numFmtId="5" fontId="41" fillId="0" borderId="0" xfId="57" applyNumberFormat="1" applyFont="1"/>
    <xf numFmtId="5" fontId="41" fillId="0" borderId="0" xfId="57" applyNumberFormat="1" applyFont="1" applyAlignment="1">
      <alignment horizontal="center"/>
    </xf>
    <xf numFmtId="43" fontId="2" fillId="0" borderId="0" xfId="57" applyNumberFormat="1" applyFont="1"/>
    <xf numFmtId="43" fontId="2" fillId="9" borderId="0" xfId="57" applyNumberFormat="1" applyFont="1" applyFill="1"/>
    <xf numFmtId="0" fontId="4" fillId="0" borderId="0" xfId="57" applyFont="1" applyAlignment="1">
      <alignment wrapText="1"/>
    </xf>
    <xf numFmtId="0" fontId="41" fillId="0" borderId="21" xfId="53" applyFont="1" applyBorder="1"/>
    <xf numFmtId="42" fontId="2" fillId="0" borderId="26" xfId="57" applyNumberFormat="1" applyFont="1" applyBorder="1"/>
    <xf numFmtId="0" fontId="2" fillId="0" borderId="26" xfId="57" applyFont="1" applyBorder="1"/>
    <xf numFmtId="0" fontId="2" fillId="0" borderId="22" xfId="57" applyFont="1" applyBorder="1"/>
    <xf numFmtId="4" fontId="2" fillId="0" borderId="0" xfId="53" applyNumberFormat="1" applyFont="1"/>
    <xf numFmtId="4" fontId="2" fillId="0" borderId="0" xfId="57" applyNumberFormat="1" applyFont="1"/>
    <xf numFmtId="2" fontId="2" fillId="0" borderId="0" xfId="57" applyNumberFormat="1" applyFont="1"/>
    <xf numFmtId="4" fontId="2" fillId="0" borderId="0" xfId="57" applyNumberFormat="1" applyFont="1" applyAlignment="1">
      <alignment horizontal="center"/>
    </xf>
    <xf numFmtId="4" fontId="2" fillId="0" borderId="2" xfId="57" applyNumberFormat="1" applyFont="1" applyBorder="1" applyAlignment="1">
      <alignment horizontal="center"/>
    </xf>
    <xf numFmtId="4" fontId="2" fillId="0" borderId="2" xfId="57" applyNumberFormat="1" applyFont="1" applyBorder="1"/>
    <xf numFmtId="4" fontId="2" fillId="0" borderId="2" xfId="53" applyNumberFormat="1" applyFont="1" applyBorder="1"/>
    <xf numFmtId="2" fontId="2" fillId="0" borderId="2" xfId="53" applyNumberFormat="1" applyFont="1" applyBorder="1"/>
    <xf numFmtId="0" fontId="2" fillId="0" borderId="0" xfId="53" applyFont="1"/>
    <xf numFmtId="39" fontId="2" fillId="0" borderId="0" xfId="53" applyNumberFormat="1" applyFont="1" applyAlignment="1">
      <alignment horizontal="right"/>
    </xf>
    <xf numFmtId="42" fontId="45" fillId="0" borderId="0" xfId="3" applyNumberFormat="1" applyFont="1"/>
    <xf numFmtId="0" fontId="2" fillId="0" borderId="0" xfId="5">
      <alignment horizontal="left" wrapText="1"/>
    </xf>
    <xf numFmtId="37" fontId="5" fillId="0" borderId="0" xfId="3"/>
    <xf numFmtId="37" fontId="17" fillId="0" borderId="0" xfId="3" applyFont="1" applyAlignment="1">
      <alignment horizontal="center"/>
    </xf>
    <xf numFmtId="37" fontId="38" fillId="0" borderId="0" xfId="3" applyFont="1"/>
    <xf numFmtId="49" fontId="38" fillId="0" borderId="0" xfId="3" applyNumberFormat="1" applyFont="1"/>
    <xf numFmtId="37" fontId="17" fillId="0" borderId="0" xfId="3" applyFont="1"/>
    <xf numFmtId="37" fontId="5" fillId="4" borderId="0" xfId="3" applyFill="1"/>
    <xf numFmtId="181" fontId="45" fillId="0" borderId="0" xfId="3" applyNumberFormat="1" applyFont="1"/>
    <xf numFmtId="37" fontId="45" fillId="0" borderId="0" xfId="3" applyFont="1" applyAlignment="1">
      <alignment horizontal="center"/>
    </xf>
    <xf numFmtId="37" fontId="45" fillId="0" borderId="21" xfId="3" applyFont="1" applyBorder="1" applyAlignment="1">
      <alignment horizontal="center"/>
    </xf>
    <xf numFmtId="37" fontId="45" fillId="0" borderId="22" xfId="3" applyFont="1" applyBorder="1" applyAlignment="1">
      <alignment horizontal="center"/>
    </xf>
    <xf numFmtId="37" fontId="45" fillId="5" borderId="6" xfId="3" applyFont="1" applyFill="1" applyBorder="1" applyAlignment="1">
      <alignment horizontal="center"/>
    </xf>
    <xf numFmtId="181" fontId="45" fillId="0" borderId="0" xfId="3" applyNumberFormat="1" applyFont="1" applyAlignment="1">
      <alignment horizontal="left"/>
    </xf>
    <xf numFmtId="37" fontId="45" fillId="0" borderId="23" xfId="3" applyFont="1" applyBorder="1" applyAlignment="1">
      <alignment horizontal="center"/>
    </xf>
    <xf numFmtId="37" fontId="45" fillId="0" borderId="24" xfId="3" applyFont="1" applyBorder="1" applyAlignment="1">
      <alignment horizontal="center"/>
    </xf>
    <xf numFmtId="37" fontId="45" fillId="5" borderId="7" xfId="3" applyFont="1" applyFill="1" applyBorder="1" applyAlignment="1">
      <alignment horizontal="center"/>
    </xf>
    <xf numFmtId="181" fontId="38" fillId="0" borderId="0" xfId="3" applyNumberFormat="1" applyFont="1"/>
    <xf numFmtId="37" fontId="45" fillId="0" borderId="47" xfId="3" applyFont="1" applyBorder="1" applyAlignment="1">
      <alignment horizontal="center" vertical="center" wrapText="1"/>
    </xf>
    <xf numFmtId="37" fontId="38" fillId="3" borderId="47" xfId="3" applyFont="1" applyFill="1" applyBorder="1" applyAlignment="1">
      <alignment horizontal="center" vertical="center" wrapText="1"/>
    </xf>
    <xf numFmtId="37" fontId="45" fillId="4" borderId="47" xfId="3" applyFont="1" applyFill="1" applyBorder="1" applyAlignment="1">
      <alignment horizontal="center" vertical="center" wrapText="1"/>
    </xf>
    <xf numFmtId="37" fontId="45" fillId="0" borderId="52" xfId="3" applyFont="1" applyBorder="1" applyAlignment="1">
      <alignment horizontal="center" vertical="center" wrapText="1"/>
    </xf>
    <xf numFmtId="37" fontId="45" fillId="0" borderId="67" xfId="3" applyFont="1" applyBorder="1" applyAlignment="1">
      <alignment horizontal="center" vertical="center" wrapText="1"/>
    </xf>
    <xf numFmtId="37" fontId="45" fillId="5" borderId="19" xfId="3" applyFont="1" applyFill="1" applyBorder="1" applyAlignment="1">
      <alignment horizontal="center" vertical="center" wrapText="1"/>
    </xf>
    <xf numFmtId="7" fontId="38" fillId="3" borderId="0" xfId="3" applyNumberFormat="1" applyFont="1" applyFill="1"/>
    <xf numFmtId="42" fontId="38" fillId="0" borderId="0" xfId="3" applyNumberFormat="1" applyFont="1"/>
    <xf numFmtId="42" fontId="38" fillId="0" borderId="23" xfId="3" applyNumberFormat="1" applyFont="1" applyBorder="1"/>
    <xf numFmtId="42" fontId="38" fillId="0" borderId="24" xfId="3" applyNumberFormat="1" applyFont="1" applyBorder="1"/>
    <xf numFmtId="42" fontId="38" fillId="5" borderId="7" xfId="3" applyNumberFormat="1" applyFont="1" applyFill="1" applyBorder="1"/>
    <xf numFmtId="43" fontId="38" fillId="3" borderId="0" xfId="3" applyNumberFormat="1" applyFont="1" applyFill="1"/>
    <xf numFmtId="41" fontId="38" fillId="0" borderId="0" xfId="3" applyNumberFormat="1" applyFont="1"/>
    <xf numFmtId="41" fontId="38" fillId="0" borderId="23" xfId="3" applyNumberFormat="1" applyFont="1" applyBorder="1"/>
    <xf numFmtId="41" fontId="38" fillId="0" borderId="24" xfId="3" applyNumberFormat="1" applyFont="1" applyBorder="1"/>
    <xf numFmtId="37" fontId="38" fillId="5" borderId="7" xfId="3" applyFont="1" applyFill="1" applyBorder="1"/>
    <xf numFmtId="41" fontId="38" fillId="4" borderId="0" xfId="3" applyNumberFormat="1" applyFont="1" applyFill="1"/>
    <xf numFmtId="41" fontId="38" fillId="4" borderId="23" xfId="3" applyNumberFormat="1" applyFont="1" applyFill="1" applyBorder="1"/>
    <xf numFmtId="41" fontId="38" fillId="4" borderId="24" xfId="3" applyNumberFormat="1" applyFont="1" applyFill="1" applyBorder="1"/>
    <xf numFmtId="37" fontId="38" fillId="0" borderId="23" xfId="3" applyFont="1" applyBorder="1"/>
    <xf numFmtId="37" fontId="38" fillId="0" borderId="24" xfId="3" applyFont="1" applyBorder="1"/>
    <xf numFmtId="37" fontId="38" fillId="0" borderId="0" xfId="3" applyFont="1" applyAlignment="1">
      <alignment horizontal="left"/>
    </xf>
    <xf numFmtId="37" fontId="17" fillId="0" borderId="3" xfId="3" applyFont="1" applyBorder="1"/>
    <xf numFmtId="42" fontId="38" fillId="0" borderId="3" xfId="3" applyNumberFormat="1" applyFont="1" applyBorder="1"/>
    <xf numFmtId="42" fontId="38" fillId="0" borderId="10" xfId="3" applyNumberFormat="1" applyFont="1" applyBorder="1"/>
    <xf numFmtId="42" fontId="38" fillId="0" borderId="11" xfId="3" applyNumberFormat="1" applyFont="1" applyBorder="1"/>
    <xf numFmtId="42" fontId="45" fillId="5" borderId="4" xfId="3" applyNumberFormat="1" applyFont="1" applyFill="1" applyBorder="1"/>
    <xf numFmtId="37" fontId="38" fillId="4" borderId="0" xfId="3" applyFont="1" applyFill="1"/>
    <xf numFmtId="10" fontId="5" fillId="0" borderId="0" xfId="9" applyNumberFormat="1" applyFont="1" applyAlignment="1"/>
    <xf numFmtId="37" fontId="5" fillId="0" borderId="0" xfId="3" applyAlignment="1">
      <alignment horizontal="center"/>
    </xf>
    <xf numFmtId="182" fontId="45" fillId="3" borderId="0" xfId="3" applyNumberFormat="1" applyFont="1" applyFill="1" applyAlignment="1">
      <alignment horizontal="left"/>
    </xf>
    <xf numFmtId="0" fontId="2" fillId="0" borderId="0" xfId="5" applyAlignment="1">
      <alignment wrapText="1"/>
    </xf>
    <xf numFmtId="0" fontId="2" fillId="0" borderId="0" xfId="5" applyAlignment="1"/>
    <xf numFmtId="0" fontId="34" fillId="0" borderId="0" xfId="5" applyFont="1" applyAlignment="1">
      <alignment horizontal="centerContinuous"/>
    </xf>
    <xf numFmtId="0" fontId="45" fillId="0" borderId="0" xfId="5" applyFont="1" applyAlignment="1">
      <alignment horizontal="center"/>
    </xf>
    <xf numFmtId="0" fontId="29" fillId="0" borderId="0" xfId="5" applyFont="1" applyAlignment="1">
      <alignment horizontal="centerContinuous"/>
    </xf>
    <xf numFmtId="0" fontId="30" fillId="0" borderId="0" xfId="5" applyFont="1" applyAlignment="1">
      <alignment horizontal="centerContinuous"/>
    </xf>
    <xf numFmtId="0" fontId="2" fillId="0" borderId="0" xfId="5" applyAlignment="1">
      <alignment horizontal="centerContinuous"/>
    </xf>
    <xf numFmtId="0" fontId="45" fillId="0" borderId="0" xfId="5" applyFont="1" applyAlignment="1">
      <alignment horizontal="centerContinuous"/>
    </xf>
    <xf numFmtId="0" fontId="4" fillId="0" borderId="0" xfId="5" applyFont="1" applyAlignment="1"/>
    <xf numFmtId="0" fontId="2" fillId="0" borderId="0" xfId="5" applyAlignment="1">
      <alignment horizontal="center" vertical="center"/>
    </xf>
    <xf numFmtId="15" fontId="45" fillId="0" borderId="0" xfId="5" applyNumberFormat="1" applyFont="1" applyAlignment="1">
      <alignment horizontal="center"/>
    </xf>
    <xf numFmtId="0" fontId="38" fillId="0" borderId="0" xfId="5" applyFont="1" applyAlignment="1"/>
    <xf numFmtId="0" fontId="2" fillId="0" borderId="6" xfId="5" applyBorder="1" applyAlignment="1">
      <alignment horizontal="center"/>
    </xf>
    <xf numFmtId="0" fontId="2" fillId="0" borderId="0" xfId="5" applyAlignment="1">
      <alignment vertical="center"/>
    </xf>
    <xf numFmtId="5" fontId="2" fillId="0" borderId="0" xfId="5" applyNumberFormat="1" applyAlignment="1">
      <alignment horizontal="center" vertical="center"/>
    </xf>
    <xf numFmtId="5" fontId="2" fillId="0" borderId="9" xfId="5" applyNumberFormat="1" applyBorder="1" applyAlignment="1">
      <alignment horizontal="center" vertical="center"/>
    </xf>
    <xf numFmtId="37" fontId="2" fillId="2" borderId="47" xfId="5" applyNumberFormat="1" applyFill="1" applyBorder="1" applyAlignment="1">
      <alignment horizontal="center" vertical="center" wrapText="1"/>
    </xf>
    <xf numFmtId="37" fontId="2" fillId="0" borderId="47" xfId="5" applyNumberFormat="1" applyBorder="1" applyAlignment="1">
      <alignment horizontal="center" vertical="center" wrapText="1"/>
    </xf>
    <xf numFmtId="37" fontId="2" fillId="3" borderId="47" xfId="5" applyNumberFormat="1" applyFill="1" applyBorder="1" applyAlignment="1">
      <alignment horizontal="center" vertical="center" wrapText="1"/>
    </xf>
    <xf numFmtId="37" fontId="2" fillId="5" borderId="68" xfId="5" applyNumberFormat="1" applyFill="1" applyBorder="1" applyAlignment="1">
      <alignment horizontal="center" vertical="center" wrapText="1"/>
    </xf>
    <xf numFmtId="0" fontId="2" fillId="0" borderId="0" xfId="4">
      <alignment horizontal="left" wrapText="1"/>
    </xf>
    <xf numFmtId="37" fontId="2" fillId="0" borderId="0" xfId="3" applyFont="1"/>
    <xf numFmtId="183" fontId="2" fillId="0" borderId="0" xfId="9" applyNumberFormat="1" applyFill="1" applyAlignment="1">
      <alignment horizontal="center"/>
    </xf>
    <xf numFmtId="42" fontId="2" fillId="0" borderId="0" xfId="5" applyNumberFormat="1" applyAlignment="1"/>
    <xf numFmtId="42" fontId="2" fillId="5" borderId="7" xfId="5" applyNumberFormat="1" applyFill="1" applyBorder="1" applyAlignment="1"/>
    <xf numFmtId="41" fontId="2" fillId="0" borderId="0" xfId="5" applyNumberFormat="1" applyAlignment="1"/>
    <xf numFmtId="41" fontId="2" fillId="5" borderId="7" xfId="5" applyNumberFormat="1" applyFill="1" applyBorder="1" applyAlignment="1"/>
    <xf numFmtId="0" fontId="46" fillId="0" borderId="0" xfId="63" applyBorder="1" applyAlignment="1" applyProtection="1"/>
    <xf numFmtId="41" fontId="2" fillId="2" borderId="0" xfId="5" applyNumberFormat="1" applyFill="1" applyAlignment="1"/>
    <xf numFmtId="41" fontId="2" fillId="0" borderId="2" xfId="5" applyNumberFormat="1" applyBorder="1" applyAlignment="1"/>
    <xf numFmtId="42" fontId="2" fillId="2" borderId="1" xfId="5" applyNumberFormat="1" applyFill="1" applyBorder="1" applyAlignment="1"/>
    <xf numFmtId="183" fontId="2" fillId="0" borderId="1" xfId="5" applyNumberFormat="1" applyBorder="1" applyAlignment="1">
      <alignment horizontal="center"/>
    </xf>
    <xf numFmtId="42" fontId="2" fillId="4" borderId="1" xfId="5" applyNumberFormat="1" applyFill="1" applyBorder="1" applyAlignment="1"/>
    <xf numFmtId="41" fontId="2" fillId="0" borderId="47" xfId="5" applyNumberFormat="1" applyBorder="1" applyAlignment="1"/>
    <xf numFmtId="42" fontId="4" fillId="5" borderId="8" xfId="5" applyNumberFormat="1" applyFont="1" applyFill="1" applyBorder="1" applyAlignment="1"/>
    <xf numFmtId="0" fontId="4" fillId="0" borderId="0" xfId="4" applyFont="1">
      <alignment horizontal="left" wrapText="1"/>
    </xf>
    <xf numFmtId="5" fontId="2" fillId="0" borderId="0" xfId="5" applyNumberFormat="1" applyAlignment="1"/>
    <xf numFmtId="5" fontId="2" fillId="0" borderId="0" xfId="5" applyNumberFormat="1" applyAlignment="1">
      <alignment horizontal="center"/>
    </xf>
    <xf numFmtId="0" fontId="2" fillId="0" borderId="0" xfId="5" applyAlignment="1">
      <alignment horizontal="center"/>
    </xf>
    <xf numFmtId="0" fontId="4" fillId="0" borderId="0" xfId="5" applyFont="1" applyAlignment="1">
      <alignment wrapText="1"/>
    </xf>
    <xf numFmtId="42" fontId="2" fillId="2" borderId="0" xfId="5" applyNumberFormat="1" applyFill="1" applyAlignment="1"/>
    <xf numFmtId="184" fontId="4" fillId="0" borderId="0" xfId="5" applyNumberFormat="1" applyFont="1" applyAlignment="1"/>
    <xf numFmtId="164" fontId="2" fillId="0" borderId="0" xfId="2" applyNumberFormat="1"/>
    <xf numFmtId="37" fontId="2" fillId="2" borderId="0" xfId="5" applyNumberFormat="1" applyFill="1" applyAlignment="1"/>
    <xf numFmtId="10" fontId="2" fillId="0" borderId="0" xfId="5" applyNumberFormat="1" applyAlignment="1"/>
    <xf numFmtId="185" fontId="2" fillId="0" borderId="0" xfId="5" applyNumberFormat="1" applyAlignment="1"/>
    <xf numFmtId="184" fontId="2" fillId="0" borderId="0" xfId="5" applyNumberFormat="1" applyAlignment="1"/>
    <xf numFmtId="0" fontId="2" fillId="0" borderId="2" xfId="5" applyBorder="1" applyAlignment="1"/>
    <xf numFmtId="41" fontId="2" fillId="2" borderId="2" xfId="5" applyNumberFormat="1" applyFill="1" applyBorder="1" applyAlignment="1"/>
    <xf numFmtId="10" fontId="2" fillId="0" borderId="2" xfId="5" applyNumberFormat="1" applyBorder="1" applyAlignment="1"/>
    <xf numFmtId="10" fontId="4" fillId="0" borderId="4" xfId="5" applyNumberFormat="1" applyFont="1" applyBorder="1" applyAlignment="1"/>
    <xf numFmtId="37" fontId="47" fillId="0" borderId="0" xfId="3" applyFont="1" applyAlignment="1">
      <alignment horizontal="center"/>
    </xf>
    <xf numFmtId="37" fontId="38" fillId="0" borderId="0" xfId="3" applyFont="1" applyAlignment="1">
      <alignment horizontal="center"/>
    </xf>
    <xf numFmtId="37" fontId="47" fillId="4" borderId="0" xfId="3" applyFont="1" applyFill="1" applyAlignment="1">
      <alignment horizontal="center"/>
    </xf>
    <xf numFmtId="186" fontId="31" fillId="4" borderId="0" xfId="3" applyNumberFormat="1" applyFont="1" applyFill="1" applyAlignment="1">
      <alignment horizontal="center"/>
    </xf>
    <xf numFmtId="37" fontId="38" fillId="0" borderId="10" xfId="3" applyFont="1" applyBorder="1"/>
    <xf numFmtId="10" fontId="38" fillId="0" borderId="10" xfId="9" applyNumberFormat="1" applyFont="1" applyBorder="1" applyAlignment="1" applyProtection="1">
      <alignment horizontal="center"/>
    </xf>
    <xf numFmtId="44" fontId="38" fillId="0" borderId="10" xfId="3" applyNumberFormat="1" applyFont="1" applyBorder="1" applyAlignment="1">
      <alignment horizontal="center"/>
    </xf>
    <xf numFmtId="44" fontId="38" fillId="0" borderId="11" xfId="3" applyNumberFormat="1" applyFont="1" applyBorder="1" applyAlignment="1">
      <alignment horizontal="center"/>
    </xf>
    <xf numFmtId="44" fontId="38" fillId="5" borderId="4" xfId="3" applyNumberFormat="1" applyFont="1" applyFill="1" applyBorder="1" applyAlignment="1">
      <alignment horizontal="center"/>
    </xf>
    <xf numFmtId="0" fontId="38" fillId="0" borderId="0" xfId="5" applyFont="1">
      <alignment horizontal="left" wrapText="1"/>
    </xf>
    <xf numFmtId="37" fontId="45" fillId="0" borderId="6" xfId="3" applyFont="1" applyBorder="1" applyAlignment="1">
      <alignment horizontal="center"/>
    </xf>
    <xf numFmtId="37" fontId="45" fillId="33" borderId="21" xfId="3" applyFont="1" applyFill="1" applyBorder="1" applyAlignment="1">
      <alignment horizontal="center"/>
    </xf>
    <xf numFmtId="37" fontId="45" fillId="33" borderId="22" xfId="3" applyFont="1" applyFill="1" applyBorder="1" applyAlignment="1">
      <alignment horizontal="center"/>
    </xf>
    <xf numFmtId="37" fontId="45" fillId="0" borderId="26" xfId="3" applyFont="1" applyBorder="1" applyAlignment="1">
      <alignment horizontal="center"/>
    </xf>
    <xf numFmtId="37" fontId="38" fillId="0" borderId="22" xfId="3" applyFont="1" applyBorder="1"/>
    <xf numFmtId="37" fontId="45" fillId="0" borderId="9" xfId="3" applyFont="1" applyBorder="1" applyAlignment="1">
      <alignment horizontal="center" vertical="center" wrapText="1"/>
    </xf>
    <xf numFmtId="37" fontId="45" fillId="33" borderId="52" xfId="3" applyFont="1" applyFill="1" applyBorder="1" applyAlignment="1">
      <alignment horizontal="center" vertical="center" wrapText="1"/>
    </xf>
    <xf numFmtId="37" fontId="45" fillId="33" borderId="67" xfId="3" applyFont="1" applyFill="1" applyBorder="1" applyAlignment="1">
      <alignment horizontal="center" vertical="center" wrapText="1"/>
    </xf>
    <xf numFmtId="37" fontId="45" fillId="5" borderId="9" xfId="3" applyFont="1" applyFill="1" applyBorder="1" applyAlignment="1">
      <alignment horizontal="center" vertical="center" wrapText="1"/>
    </xf>
    <xf numFmtId="37" fontId="45" fillId="0" borderId="2" xfId="3" applyFont="1" applyBorder="1" applyAlignment="1">
      <alignment horizontal="center" vertical="center" wrapText="1"/>
    </xf>
    <xf numFmtId="37" fontId="45" fillId="0" borderId="28" xfId="3" applyFont="1" applyBorder="1" applyAlignment="1">
      <alignment horizontal="center"/>
    </xf>
    <xf numFmtId="37" fontId="38" fillId="0" borderId="0" xfId="3" applyFont="1" applyAlignment="1">
      <alignment horizontal="right"/>
    </xf>
    <xf numFmtId="42" fontId="38" fillId="0" borderId="7" xfId="5" applyNumberFormat="1" applyFont="1" applyBorder="1" applyAlignment="1"/>
    <xf numFmtId="170" fontId="38" fillId="4" borderId="0" xfId="5" applyNumberFormat="1" applyFont="1" applyFill="1" applyAlignment="1"/>
    <xf numFmtId="41" fontId="38" fillId="0" borderId="7" xfId="5" applyNumberFormat="1" applyFont="1" applyBorder="1" applyAlignment="1"/>
    <xf numFmtId="37" fontId="38" fillId="0" borderId="3" xfId="3" applyFont="1" applyBorder="1" applyAlignment="1">
      <alignment horizontal="left"/>
    </xf>
    <xf numFmtId="37" fontId="38" fillId="0" borderId="3" xfId="3" applyFont="1" applyBorder="1" applyAlignment="1">
      <alignment horizontal="right"/>
    </xf>
    <xf numFmtId="42" fontId="45" fillId="0" borderId="69" xfId="3" applyNumberFormat="1" applyFont="1" applyBorder="1"/>
    <xf numFmtId="42" fontId="45" fillId="0" borderId="70" xfId="3" applyNumberFormat="1" applyFont="1" applyBorder="1"/>
    <xf numFmtId="42" fontId="45" fillId="5" borderId="20" xfId="3" applyNumberFormat="1" applyFont="1" applyFill="1" applyBorder="1"/>
    <xf numFmtId="42" fontId="38" fillId="0" borderId="1" xfId="3" applyNumberFormat="1" applyFont="1" applyBorder="1"/>
    <xf numFmtId="170" fontId="38" fillId="4" borderId="3" xfId="5" applyNumberFormat="1" applyFont="1" applyFill="1" applyBorder="1" applyAlignment="1"/>
    <xf numFmtId="37" fontId="38" fillId="0" borderId="2" xfId="3" applyFont="1" applyBorder="1"/>
    <xf numFmtId="42" fontId="38" fillId="5" borderId="9" xfId="3" applyNumberFormat="1" applyFont="1" applyFill="1" applyBorder="1"/>
    <xf numFmtId="42" fontId="38" fillId="4" borderId="8" xfId="5" applyNumberFormat="1" applyFont="1" applyFill="1" applyBorder="1" applyAlignment="1"/>
    <xf numFmtId="37" fontId="38" fillId="0" borderId="38" xfId="3" applyFont="1" applyBorder="1"/>
    <xf numFmtId="42" fontId="38" fillId="5" borderId="4" xfId="3" applyNumberFormat="1" applyFont="1" applyFill="1" applyBorder="1"/>
    <xf numFmtId="42" fontId="38" fillId="0" borderId="38" xfId="3" applyNumberFormat="1" applyFont="1" applyBorder="1"/>
    <xf numFmtId="170" fontId="38" fillId="4" borderId="71" xfId="5" applyNumberFormat="1" applyFont="1" applyFill="1" applyBorder="1" applyAlignment="1"/>
    <xf numFmtId="41" fontId="38" fillId="0" borderId="0" xfId="5" applyNumberFormat="1" applyFont="1" applyAlignment="1"/>
    <xf numFmtId="0" fontId="2" fillId="0" borderId="0" xfId="0" applyFont="1" applyAlignment="1">
      <alignment horizontal="center"/>
    </xf>
    <xf numFmtId="0" fontId="5" fillId="9" borderId="0" xfId="52" applyFont="1" applyFill="1" applyAlignment="1">
      <alignment horizontal="center"/>
    </xf>
    <xf numFmtId="0" fontId="5" fillId="5" borderId="3" xfId="53" applyFont="1" applyFill="1" applyBorder="1" applyAlignment="1">
      <alignment horizontal="center"/>
    </xf>
    <xf numFmtId="0" fontId="5" fillId="5" borderId="11" xfId="53" applyFont="1" applyFill="1" applyBorder="1" applyAlignment="1">
      <alignment horizontal="center"/>
    </xf>
    <xf numFmtId="0" fontId="5" fillId="0" borderId="10" xfId="53" applyFont="1" applyBorder="1" applyAlignment="1">
      <alignment horizontal="center" wrapText="1"/>
    </xf>
    <xf numFmtId="0" fontId="14" fillId="0" borderId="3" xfId="53" applyBorder="1" applyAlignment="1">
      <alignment horizontal="center" wrapText="1"/>
    </xf>
    <xf numFmtId="0" fontId="17" fillId="0" borderId="23" xfId="53" applyFont="1" applyBorder="1" applyAlignment="1">
      <alignment horizontal="center"/>
    </xf>
    <xf numFmtId="0" fontId="17" fillId="0" borderId="24" xfId="53" applyFont="1" applyBorder="1" applyAlignment="1">
      <alignment horizontal="center"/>
    </xf>
    <xf numFmtId="0" fontId="17" fillId="0" borderId="2" xfId="53" applyFont="1" applyBorder="1" applyAlignment="1">
      <alignment horizontal="center"/>
    </xf>
    <xf numFmtId="0" fontId="5" fillId="0" borderId="26" xfId="53" applyFont="1" applyBorder="1" applyAlignment="1">
      <alignment horizontal="center"/>
    </xf>
    <xf numFmtId="0" fontId="2" fillId="0" borderId="10" xfId="57" applyFont="1" applyBorder="1" applyAlignment="1">
      <alignment horizontal="center" wrapText="1"/>
    </xf>
    <xf numFmtId="0" fontId="2" fillId="0" borderId="11" xfId="57" applyFont="1" applyBorder="1" applyAlignment="1">
      <alignment horizontal="center" wrapText="1"/>
    </xf>
    <xf numFmtId="37" fontId="45" fillId="0" borderId="6" xfId="3" applyFont="1" applyBorder="1" applyAlignment="1">
      <alignment horizontal="center" wrapText="1"/>
    </xf>
    <xf numFmtId="0" fontId="38" fillId="0" borderId="9" xfId="5" applyFont="1" applyBorder="1" applyAlignment="1">
      <alignment wrapText="1"/>
    </xf>
  </cellXfs>
  <cellStyles count="64">
    <cellStyle name="_Tables7and11" xfId="1" xr:uid="{00000000-0005-0000-0000-000000000000}"/>
    <cellStyle name="Comma" xfId="51" builtinId="3"/>
    <cellStyle name="Comma 2" xfId="10" xr:uid="{00000000-0005-0000-0000-000002000000}"/>
    <cellStyle name="Comma 2 2" xfId="11" xr:uid="{00000000-0005-0000-0000-000003000000}"/>
    <cellStyle name="Comma 3" xfId="12" xr:uid="{00000000-0005-0000-0000-000004000000}"/>
    <cellStyle name="Comma 3 2" xfId="13" xr:uid="{00000000-0005-0000-0000-000005000000}"/>
    <cellStyle name="Comma 4" xfId="14" xr:uid="{00000000-0005-0000-0000-000006000000}"/>
    <cellStyle name="Comma 5" xfId="15" xr:uid="{00000000-0005-0000-0000-000007000000}"/>
    <cellStyle name="Comma0" xfId="16" xr:uid="{00000000-0005-0000-0000-000008000000}"/>
    <cellStyle name="Comma0 2" xfId="17" xr:uid="{00000000-0005-0000-0000-000009000000}"/>
    <cellStyle name="Currency" xfId="2" builtinId="4"/>
    <cellStyle name="Currency 2" xfId="8" xr:uid="{00000000-0005-0000-0000-00000B000000}"/>
    <cellStyle name="Currency 2 2" xfId="18" xr:uid="{00000000-0005-0000-0000-00000C000000}"/>
    <cellStyle name="Currency 3" xfId="19" xr:uid="{00000000-0005-0000-0000-00000D000000}"/>
    <cellStyle name="Currency 3 2" xfId="20" xr:uid="{00000000-0005-0000-0000-00000E000000}"/>
    <cellStyle name="Currency 4" xfId="21" xr:uid="{00000000-0005-0000-0000-00000F000000}"/>
    <cellStyle name="Hyperlink" xfId="63" builtinId="8"/>
    <cellStyle name="Normal" xfId="0" builtinId="0"/>
    <cellStyle name="Normal 10" xfId="22" xr:uid="{00000000-0005-0000-0000-000011000000}"/>
    <cellStyle name="Normal 10 2" xfId="23" xr:uid="{00000000-0005-0000-0000-000012000000}"/>
    <cellStyle name="Normal 11" xfId="24" xr:uid="{00000000-0005-0000-0000-000013000000}"/>
    <cellStyle name="Normal 11 2" xfId="59" xr:uid="{054F15ED-4BDC-413A-BD32-A960D1097DBF}"/>
    <cellStyle name="Normal 12" xfId="53" xr:uid="{89F07E30-8A34-4A45-9624-7D25822D0F22}"/>
    <cellStyle name="Normal 12 2" xfId="62" xr:uid="{E6F482E0-ACB0-45E6-AD28-8CAAECF63496}"/>
    <cellStyle name="Normal 13" xfId="58" xr:uid="{BDBF15F4-3074-4B95-B29D-D529730626E3}"/>
    <cellStyle name="Normal 14" xfId="60" xr:uid="{D9797478-D843-4369-8B2B-858F02A1E73F}"/>
    <cellStyle name="Normal 2" xfId="5" xr:uid="{00000000-0005-0000-0000-000014000000}"/>
    <cellStyle name="Normal 2 10" xfId="7" xr:uid="{00000000-0005-0000-0000-000015000000}"/>
    <cellStyle name="Normal 2 11" xfId="25" xr:uid="{00000000-0005-0000-0000-000016000000}"/>
    <cellStyle name="Normal 2 12" xfId="26" xr:uid="{00000000-0005-0000-0000-000017000000}"/>
    <cellStyle name="Normal 2 13" xfId="27" xr:uid="{00000000-0005-0000-0000-000018000000}"/>
    <cellStyle name="Normal 2 14" xfId="56" xr:uid="{99457867-4A78-4C9D-9B3D-7CB87C8B7236}"/>
    <cellStyle name="Normal 2 2" xfId="28" xr:uid="{00000000-0005-0000-0000-000019000000}"/>
    <cellStyle name="Normal 2 3" xfId="29" xr:uid="{00000000-0005-0000-0000-00001A000000}"/>
    <cellStyle name="Normal 2 4" xfId="30" xr:uid="{00000000-0005-0000-0000-00001B000000}"/>
    <cellStyle name="Normal 2 5" xfId="31" xr:uid="{00000000-0005-0000-0000-00001C000000}"/>
    <cellStyle name="Normal 2 6" xfId="32" xr:uid="{00000000-0005-0000-0000-00001D000000}"/>
    <cellStyle name="Normal 2 7" xfId="33" xr:uid="{00000000-0005-0000-0000-00001E000000}"/>
    <cellStyle name="Normal 2 8" xfId="34" xr:uid="{00000000-0005-0000-0000-00001F000000}"/>
    <cellStyle name="Normal 2 9" xfId="35" xr:uid="{00000000-0005-0000-0000-000020000000}"/>
    <cellStyle name="Normal 3" xfId="36" xr:uid="{00000000-0005-0000-0000-000021000000}"/>
    <cellStyle name="Normal 3 2" xfId="37" xr:uid="{00000000-0005-0000-0000-000022000000}"/>
    <cellStyle name="Normal 3 3" xfId="38" xr:uid="{00000000-0005-0000-0000-000023000000}"/>
    <cellStyle name="Normal 3 4" xfId="54" xr:uid="{85A04022-2F93-4944-B89F-46C4FF7D42E2}"/>
    <cellStyle name="Normal 4" xfId="39" xr:uid="{00000000-0005-0000-0000-000024000000}"/>
    <cellStyle name="Normal 4 2" xfId="40" xr:uid="{00000000-0005-0000-0000-000025000000}"/>
    <cellStyle name="Normal 4 3" xfId="52" xr:uid="{64D48986-826D-4A22-9388-CEC1E0AA690F}"/>
    <cellStyle name="Normal 5" xfId="41" xr:uid="{00000000-0005-0000-0000-000026000000}"/>
    <cellStyle name="Normal 6" xfId="42" xr:uid="{00000000-0005-0000-0000-000027000000}"/>
    <cellStyle name="Normal 6 2" xfId="55" xr:uid="{B5AC275F-5F6B-4E92-96E6-1A53483D84DE}"/>
    <cellStyle name="Normal 7" xfId="43" xr:uid="{00000000-0005-0000-0000-000028000000}"/>
    <cellStyle name="Normal 8" xfId="44" xr:uid="{00000000-0005-0000-0000-000029000000}"/>
    <cellStyle name="Normal 9" xfId="45" xr:uid="{00000000-0005-0000-0000-00002A000000}"/>
    <cellStyle name="Normal 9 2" xfId="61" xr:uid="{2C843629-B3E5-434D-86F8-8D4A7A827397}"/>
    <cellStyle name="Normal_HRI Final I&amp;O Calc 0405fall numbers and funding rates" xfId="57" xr:uid="{EACED7D7-D08B-4743-A464-C912709FDD03}"/>
    <cellStyle name="Normal_Infrastructure BY 04-05 Spring to LBB w final rates" xfId="3" xr:uid="{00000000-0005-0000-0000-00002B000000}"/>
    <cellStyle name="Percent" xfId="6" builtinId="5"/>
    <cellStyle name="Percent 2" xfId="9" xr:uid="{00000000-0005-0000-0000-00002E000000}"/>
    <cellStyle name="Percent 2 2" xfId="46" xr:uid="{00000000-0005-0000-0000-00002F000000}"/>
    <cellStyle name="Percent 3" xfId="47" xr:uid="{00000000-0005-0000-0000-000030000000}"/>
    <cellStyle name="Percent 3 2" xfId="48" xr:uid="{00000000-0005-0000-0000-000031000000}"/>
    <cellStyle name="Percent 4" xfId="49" xr:uid="{00000000-0005-0000-0000-000032000000}"/>
    <cellStyle name="Percent 5" xfId="50" xr:uid="{00000000-0005-0000-0000-000033000000}"/>
    <cellStyle name="Style 1" xfId="4" xr:uid="{00000000-0005-0000-0000-000034000000}"/>
  </cellStyles>
  <dxfs count="7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99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ECB-AUVFS41\UserDoc$\Documents%20and%20Settings\turcottepl\Local%20Settings\Temporary%20Internet%20Files\Content.Outlook\Y0C3JNCR\GAI%20Formulas%20Comparison%20to%20Commissioners%20w%20At-Risk%20No%20Growth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cenarios 0% AR 5% FAC"/>
      <sheetName val="Scenarios 0% AR 5% COM1"/>
      <sheetName val="Scenarios 0% AR 5% COM2"/>
      <sheetName val="At-Risk 0pct"/>
      <sheetName val="Comparison"/>
      <sheetName val="I and O"/>
      <sheetName val="Cost Study"/>
      <sheetName val="SCH"/>
      <sheetName val="Enroll Projs"/>
      <sheetName val="CPI"/>
      <sheetName val="Law VM Tuition"/>
      <sheetName val="CBM"/>
      <sheetName val="NACUBO"/>
      <sheetName val="Infrastructure"/>
      <sheetName val="Rates"/>
      <sheetName val="TAMU"/>
      <sheetName val="Utility Study"/>
      <sheetName val="SIS"/>
      <sheetName val="PIF20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G2" t="str">
            <v>FY 2010</v>
          </cell>
          <cell r="H2" t="str">
            <v>FY 2011</v>
          </cell>
        </row>
        <row r="3">
          <cell r="C3" t="str">
            <v>Statewide O&amp;M Rate</v>
          </cell>
          <cell r="F3">
            <v>0.48</v>
          </cell>
          <cell r="G3">
            <v>3.0468386923677881</v>
          </cell>
          <cell r="H3">
            <v>3.0468386923677881</v>
          </cell>
          <cell r="I3">
            <v>0</v>
          </cell>
        </row>
        <row r="4">
          <cell r="C4" t="str">
            <v>Statewide Utility Rate2</v>
          </cell>
          <cell r="F4">
            <v>0.52</v>
          </cell>
          <cell r="G4">
            <v>3.3007419167317709</v>
          </cell>
          <cell r="H4">
            <v>3.3007419167317709</v>
          </cell>
        </row>
        <row r="5">
          <cell r="C5" t="str">
            <v>Statewide Infrastructure Rate</v>
          </cell>
          <cell r="F5">
            <v>1</v>
          </cell>
          <cell r="G5">
            <v>6.347580609099559</v>
          </cell>
          <cell r="H5">
            <v>6.347580609099559</v>
          </cell>
          <cell r="I5">
            <v>1.0119375403095252</v>
          </cell>
        </row>
        <row r="6">
          <cell r="C6" t="str">
            <v>FY 2010</v>
          </cell>
          <cell r="G6" t="str">
            <v>FY 2011</v>
          </cell>
        </row>
        <row r="7">
          <cell r="A7" t="str">
            <v>Insitution</v>
          </cell>
          <cell r="C7" t="str">
            <v>Total 
Funding</v>
          </cell>
          <cell r="D7" t="str">
            <v>O&amp;M 
Funding</v>
          </cell>
          <cell r="E7" t="str">
            <v>Utility 
Funding</v>
          </cell>
          <cell r="F7" t="str">
            <v>Institution Adjusted Utility Rate</v>
          </cell>
          <cell r="G7" t="str">
            <v>Total 
Funding</v>
          </cell>
          <cell r="H7" t="str">
            <v>O&amp;M 
Funding</v>
          </cell>
          <cell r="I7" t="str">
            <v>Utility 
Funding</v>
          </cell>
          <cell r="J7" t="str">
            <v>Institution Adjusted Utility Rate</v>
          </cell>
          <cell r="K7" t="str">
            <v>Small Institution Supplement2</v>
          </cell>
          <cell r="L7" t="str">
            <v>Adjusted 
Institution 
Rate</v>
          </cell>
          <cell r="M7" t="str">
            <v xml:space="preserve">Predicted
Square
Feet1 </v>
          </cell>
        </row>
        <row r="8">
          <cell r="B8" t="str">
            <v>UT-Arlington</v>
          </cell>
          <cell r="C8">
            <v>15865358.793756455</v>
          </cell>
          <cell r="D8">
            <v>7517969.697302077</v>
          </cell>
          <cell r="E8">
            <v>8347389.0964543791</v>
          </cell>
          <cell r="F8">
            <v>3.382980924817137</v>
          </cell>
          <cell r="G8">
            <v>15865358.793756455</v>
          </cell>
          <cell r="H8">
            <v>7517969.697302077</v>
          </cell>
          <cell r="I8">
            <v>8347389.0964543791</v>
          </cell>
          <cell r="J8">
            <v>3.382980924817137</v>
          </cell>
        </row>
        <row r="9">
          <cell r="B9" t="str">
            <v>UT-Austin</v>
          </cell>
          <cell r="C9">
            <v>66643634.689327613</v>
          </cell>
          <cell r="D9">
            <v>30699554.130682867</v>
          </cell>
          <cell r="E9">
            <v>35944080.558644742</v>
          </cell>
          <cell r="F9">
            <v>3.5673422142052318</v>
          </cell>
          <cell r="G9">
            <v>66643634.689327613</v>
          </cell>
          <cell r="H9">
            <v>30699554.130682867</v>
          </cell>
          <cell r="I9">
            <v>35944080.558644742</v>
          </cell>
          <cell r="J9">
            <v>3.5673422142052318</v>
          </cell>
        </row>
        <row r="10">
          <cell r="B10" t="str">
            <v>UT-Dallas</v>
          </cell>
          <cell r="C10">
            <v>11458278.080620982</v>
          </cell>
          <cell r="D10">
            <v>5473067.7811598964</v>
          </cell>
          <cell r="E10">
            <v>5985210.2994610863</v>
          </cell>
          <cell r="F10">
            <v>3.3319467347235228</v>
          </cell>
          <cell r="G10">
            <v>11458278.080620982</v>
          </cell>
          <cell r="H10">
            <v>5473067.7811598964</v>
          </cell>
          <cell r="I10">
            <v>5985210.2994610863</v>
          </cell>
          <cell r="J10">
            <v>3.3319467347235228</v>
          </cell>
        </row>
        <row r="11">
          <cell r="B11" t="str">
            <v>UT-El Paso</v>
          </cell>
          <cell r="C11">
            <v>12707088.332474487</v>
          </cell>
          <cell r="D11">
            <v>6036229.6156067243</v>
          </cell>
          <cell r="E11">
            <v>6670858.7168677626</v>
          </cell>
          <cell r="F11">
            <v>3.367173176666622</v>
          </cell>
          <cell r="G11">
            <v>12707088.332474487</v>
          </cell>
          <cell r="H11">
            <v>6036229.6156067243</v>
          </cell>
          <cell r="I11">
            <v>6670858.7168677626</v>
          </cell>
          <cell r="J11">
            <v>3.367173176666622</v>
          </cell>
        </row>
        <row r="12">
          <cell r="B12" t="str">
            <v>UT-Pan American</v>
          </cell>
          <cell r="C12">
            <v>10240505.364743877</v>
          </cell>
          <cell r="D12">
            <v>4694409.7508016694</v>
          </cell>
          <cell r="E12">
            <v>5546095.6139422087</v>
          </cell>
          <cell r="F12">
            <v>3.5996130728138303</v>
          </cell>
          <cell r="G12">
            <v>10240505.364743877</v>
          </cell>
          <cell r="H12">
            <v>4694409.7508016694</v>
          </cell>
          <cell r="I12">
            <v>5546095.6139422087</v>
          </cell>
          <cell r="J12">
            <v>3.5996130728138303</v>
          </cell>
        </row>
        <row r="13">
          <cell r="B13" t="str">
            <v>UT-Brownsville</v>
          </cell>
          <cell r="C13">
            <v>4302993.3694997262</v>
          </cell>
          <cell r="D13">
            <v>1909319.1163499528</v>
          </cell>
          <cell r="E13">
            <v>1905124.2531497732</v>
          </cell>
          <cell r="F13">
            <v>3.0401446455748506</v>
          </cell>
          <cell r="G13">
            <v>4302993.3694997262</v>
          </cell>
          <cell r="H13">
            <v>1909319.1163499528</v>
          </cell>
          <cell r="I13">
            <v>1905124.2531497732</v>
          </cell>
          <cell r="J13">
            <v>3.0401446455748506</v>
          </cell>
        </row>
        <row r="14">
          <cell r="B14" t="str">
            <v>UT-Permian Basin</v>
          </cell>
          <cell r="C14">
            <v>2719584.9066850161</v>
          </cell>
          <cell r="D14">
            <v>916181.16201712633</v>
          </cell>
          <cell r="E14">
            <v>1053403.7446678896</v>
          </cell>
          <cell r="F14">
            <v>3.503184109213596</v>
          </cell>
          <cell r="G14">
            <v>2719584.9066850161</v>
          </cell>
          <cell r="H14">
            <v>916181.16201712633</v>
          </cell>
          <cell r="I14">
            <v>1053403.7446678896</v>
          </cell>
          <cell r="J14">
            <v>3.503184109213596</v>
          </cell>
        </row>
        <row r="15">
          <cell r="B15" t="str">
            <v>UT-San Antonio</v>
          </cell>
          <cell r="C15">
            <v>14952109.743135519</v>
          </cell>
          <cell r="D15">
            <v>7747709.0191254197</v>
          </cell>
          <cell r="E15">
            <v>7204400.7240101006</v>
          </cell>
          <cell r="F15">
            <v>2.8331790503554979</v>
          </cell>
          <cell r="G15">
            <v>14952109.743135519</v>
          </cell>
          <cell r="H15">
            <v>7747709.0191254197</v>
          </cell>
          <cell r="I15">
            <v>7204400.7240101006</v>
          </cell>
          <cell r="J15">
            <v>2.8331790503554979</v>
          </cell>
        </row>
        <row r="16">
          <cell r="B16" t="str">
            <v>UT-Tyler</v>
          </cell>
          <cell r="C16">
            <v>4126368.6631127531</v>
          </cell>
          <cell r="D16">
            <v>1644003.2357093247</v>
          </cell>
          <cell r="E16">
            <v>1906815.4274034281</v>
          </cell>
          <cell r="F16">
            <v>3.5339097254938774</v>
          </cell>
          <cell r="G16">
            <v>4126368.6631127531</v>
          </cell>
          <cell r="H16">
            <v>1644003.2357093247</v>
          </cell>
          <cell r="I16">
            <v>1906815.4274034281</v>
          </cell>
          <cell r="J16">
            <v>3.5339097254938774</v>
          </cell>
        </row>
        <row r="17">
          <cell r="B17" t="str">
            <v>TAMU</v>
          </cell>
          <cell r="C17">
            <v>39025527</v>
          </cell>
          <cell r="D17">
            <v>18451536</v>
          </cell>
          <cell r="E17">
            <v>20573991</v>
          </cell>
          <cell r="F17">
            <v>3.3973124161453945</v>
          </cell>
          <cell r="G17">
            <v>39025527</v>
          </cell>
          <cell r="H17">
            <v>18451536</v>
          </cell>
          <cell r="I17">
            <v>20573991</v>
          </cell>
          <cell r="J17">
            <v>3.3973124161453945</v>
          </cell>
        </row>
        <row r="18">
          <cell r="B18" t="str">
            <v>TAMU-Galveston</v>
          </cell>
          <cell r="C18">
            <v>2685082.7184032141</v>
          </cell>
          <cell r="D18">
            <v>768981.12233496329</v>
          </cell>
          <cell r="E18">
            <v>1166101.5960682509</v>
          </cell>
          <cell r="F18">
            <v>4.6202999773835147</v>
          </cell>
          <cell r="G18">
            <v>2685082.7184032141</v>
          </cell>
          <cell r="H18">
            <v>768981.12233496329</v>
          </cell>
          <cell r="I18">
            <v>1166101.5960682509</v>
          </cell>
          <cell r="J18">
            <v>4.6202999773835147</v>
          </cell>
        </row>
        <row r="19">
          <cell r="B19" t="str">
            <v>Prairie View</v>
          </cell>
          <cell r="C19">
            <v>6069935.4730350841</v>
          </cell>
          <cell r="D19">
            <v>2813043.1526448266</v>
          </cell>
          <cell r="E19">
            <v>3048092.3203902575</v>
          </cell>
          <cell r="F19">
            <v>3.3014230908411264</v>
          </cell>
          <cell r="G19">
            <v>6069935.4730350841</v>
          </cell>
          <cell r="H19">
            <v>2813043.1526448266</v>
          </cell>
          <cell r="I19">
            <v>3048092.3203902575</v>
          </cell>
          <cell r="J19">
            <v>3.3014230908411264</v>
          </cell>
        </row>
        <row r="20">
          <cell r="B20" t="str">
            <v>Tarleton</v>
          </cell>
          <cell r="C20">
            <v>5652454.5199003154</v>
          </cell>
          <cell r="D20">
            <v>2295674.8258816004</v>
          </cell>
          <cell r="E20">
            <v>3146479.6940187151</v>
          </cell>
          <cell r="F20">
            <v>4.1760339785074683</v>
          </cell>
          <cell r="G20">
            <v>5652454.5199003154</v>
          </cell>
          <cell r="H20">
            <v>2295674.8258816004</v>
          </cell>
          <cell r="I20">
            <v>3146479.6940187151</v>
          </cell>
          <cell r="J20">
            <v>4.1760339785074683</v>
          </cell>
        </row>
        <row r="21">
          <cell r="B21" t="str">
            <v>TAMU-CC</v>
          </cell>
          <cell r="C21">
            <v>6311937.1534849899</v>
          </cell>
          <cell r="D21">
            <v>2712615.325914267</v>
          </cell>
          <cell r="E21">
            <v>3519521.8275707229</v>
          </cell>
          <cell r="F21">
            <v>3.9531647485849182</v>
          </cell>
          <cell r="G21">
            <v>6311937.1534849899</v>
          </cell>
          <cell r="H21">
            <v>2712615.325914267</v>
          </cell>
          <cell r="I21">
            <v>3519521.8275707229</v>
          </cell>
          <cell r="J21">
            <v>3.9531647485849182</v>
          </cell>
        </row>
        <row r="22">
          <cell r="B22" t="str">
            <v>TAMU-Kingsville</v>
          </cell>
          <cell r="C22">
            <v>5270552.8822994772</v>
          </cell>
          <cell r="D22">
            <v>2059693.5686244676</v>
          </cell>
          <cell r="E22">
            <v>2594659.3136750096</v>
          </cell>
          <cell r="F22">
            <v>3.8381963758313002</v>
          </cell>
          <cell r="G22">
            <v>5270552.8822994772</v>
          </cell>
          <cell r="H22">
            <v>2059693.5686244676</v>
          </cell>
          <cell r="I22">
            <v>2594659.3136750096</v>
          </cell>
          <cell r="J22">
            <v>3.8381963758313002</v>
          </cell>
        </row>
        <row r="23">
          <cell r="B23" t="str">
            <v>TAMI</v>
          </cell>
          <cell r="C23">
            <v>3988548.4641308184</v>
          </cell>
          <cell r="D23">
            <v>1483777.4297515855</v>
          </cell>
          <cell r="E23">
            <v>1967621.0343792329</v>
          </cell>
          <cell r="F23">
            <v>4.0403794930800814</v>
          </cell>
          <cell r="G23">
            <v>3988548.4641308184</v>
          </cell>
          <cell r="H23">
            <v>1483777.4297515855</v>
          </cell>
          <cell r="I23">
            <v>1967621.0343792329</v>
          </cell>
          <cell r="J23">
            <v>4.0403794930800814</v>
          </cell>
        </row>
        <row r="24">
          <cell r="B24" t="str">
            <v>WTAMU</v>
          </cell>
          <cell r="C24">
            <v>4341641.7959979298</v>
          </cell>
          <cell r="D24">
            <v>2162476.9797065598</v>
          </cell>
          <cell r="E24">
            <v>1844514.81629137</v>
          </cell>
          <cell r="F24">
            <v>2.598843439103252</v>
          </cell>
          <cell r="G24">
            <v>4341641.7959979298</v>
          </cell>
          <cell r="H24">
            <v>2162476.9797065598</v>
          </cell>
          <cell r="I24">
            <v>1844514.81629137</v>
          </cell>
          <cell r="J24">
            <v>2.598843439103252</v>
          </cell>
        </row>
        <row r="25">
          <cell r="B25" t="str">
            <v>TAMU-Commerce</v>
          </cell>
          <cell r="C25">
            <v>4508397.0054437034</v>
          </cell>
          <cell r="D25">
            <v>2043468.4596776403</v>
          </cell>
          <cell r="E25">
            <v>2326178.545766063</v>
          </cell>
          <cell r="F25">
            <v>3.4683631964223878</v>
          </cell>
          <cell r="G25">
            <v>4508397.0054437034</v>
          </cell>
          <cell r="H25">
            <v>2043468.4596776403</v>
          </cell>
          <cell r="I25">
            <v>2326178.545766063</v>
          </cell>
          <cell r="J25">
            <v>3.4683631964223878</v>
          </cell>
        </row>
        <row r="26">
          <cell r="B26" t="str">
            <v>TAMU-Texarkana</v>
          </cell>
          <cell r="C26">
            <v>1532480.8353487863</v>
          </cell>
          <cell r="D26">
            <v>396380.2886396306</v>
          </cell>
          <cell r="E26">
            <v>386100.54670915578</v>
          </cell>
          <cell r="F26">
            <v>2.9678218583854066</v>
          </cell>
          <cell r="G26">
            <v>1532480.8353487863</v>
          </cell>
          <cell r="H26">
            <v>396380.2886396306</v>
          </cell>
          <cell r="I26">
            <v>386100.54670915578</v>
          </cell>
          <cell r="J26">
            <v>2.9678218583854066</v>
          </cell>
        </row>
        <row r="27">
          <cell r="B27" t="str">
            <v>TAMU-Central</v>
          </cell>
        </row>
        <row r="28">
          <cell r="B28" t="str">
            <v>TAMU-San Antonio</v>
          </cell>
        </row>
        <row r="29">
          <cell r="B29" t="str">
            <v>UH</v>
          </cell>
          <cell r="C29">
            <v>25325398.310335938</v>
          </cell>
          <cell r="D29">
            <v>12617806.628982073</v>
          </cell>
          <cell r="E29">
            <v>12707591.681353865</v>
          </cell>
          <cell r="F29">
            <v>3.0685192094026821</v>
          </cell>
          <cell r="G29">
            <v>25325398.310335938</v>
          </cell>
          <cell r="H29">
            <v>12617806.628982073</v>
          </cell>
          <cell r="I29">
            <v>12707591.681353865</v>
          </cell>
          <cell r="J29">
            <v>3.0685192094026821</v>
          </cell>
        </row>
        <row r="30">
          <cell r="B30" t="str">
            <v>UH-Clear Lake</v>
          </cell>
          <cell r="C30">
            <v>4056958.5692653116</v>
          </cell>
          <cell r="D30">
            <v>1698366.9850328893</v>
          </cell>
          <cell r="E30">
            <v>2005041.5842324221</v>
          </cell>
          <cell r="F30">
            <v>3.597007203085409</v>
          </cell>
          <cell r="G30">
            <v>4056958.5692653116</v>
          </cell>
          <cell r="H30">
            <v>1698366.9850328893</v>
          </cell>
          <cell r="I30">
            <v>2005041.5842324221</v>
          </cell>
          <cell r="J30">
            <v>3.597007203085409</v>
          </cell>
        </row>
        <row r="31">
          <cell r="B31" t="str">
            <v>UH-Downtown</v>
          </cell>
          <cell r="C31">
            <v>5268701.9169959053</v>
          </cell>
          <cell r="D31">
            <v>2480326.3175231284</v>
          </cell>
          <cell r="E31">
            <v>2788375.599472777</v>
          </cell>
          <cell r="F31">
            <v>3.4252471561128219</v>
          </cell>
          <cell r="G31">
            <v>5268701.9169959053</v>
          </cell>
          <cell r="H31">
            <v>2480326.3175231284</v>
          </cell>
          <cell r="I31">
            <v>2788375.599472777</v>
          </cell>
          <cell r="J31">
            <v>3.4252471561128219</v>
          </cell>
        </row>
        <row r="32">
          <cell r="B32" t="str">
            <v>UH-Victoria</v>
          </cell>
          <cell r="C32">
            <v>2308160.2979063047</v>
          </cell>
          <cell r="D32">
            <v>665889.53173857217</v>
          </cell>
          <cell r="E32">
            <v>892270.76616773254</v>
          </cell>
          <cell r="F32">
            <v>4.0826668161166131</v>
          </cell>
          <cell r="G32">
            <v>2308160.2979063047</v>
          </cell>
          <cell r="H32">
            <v>665889.53173857217</v>
          </cell>
          <cell r="I32">
            <v>892270.76616773254</v>
          </cell>
          <cell r="J32">
            <v>4.0826668161166131</v>
          </cell>
        </row>
        <row r="33">
          <cell r="B33" t="str">
            <v>Midwestern</v>
          </cell>
          <cell r="C33">
            <v>3915121.9865556397</v>
          </cell>
          <cell r="D33">
            <v>1567440.7439887193</v>
          </cell>
          <cell r="E33">
            <v>1753981.2425669206</v>
          </cell>
          <cell r="F33">
            <v>3.4094417514890663</v>
          </cell>
          <cell r="G33">
            <v>3915121.9865556397</v>
          </cell>
          <cell r="H33">
            <v>1567440.7439887193</v>
          </cell>
          <cell r="I33">
            <v>1753981.2425669206</v>
          </cell>
          <cell r="J33">
            <v>3.4094417514890663</v>
          </cell>
        </row>
        <row r="34">
          <cell r="B34" t="str">
            <v>UNT</v>
          </cell>
          <cell r="C34">
            <v>19904381.059262764</v>
          </cell>
          <cell r="D34">
            <v>9397956.4152072947</v>
          </cell>
          <cell r="E34">
            <v>10506424.644055469</v>
          </cell>
          <cell r="F34">
            <v>3.4062065953142202</v>
          </cell>
          <cell r="G34">
            <v>19904381.059262764</v>
          </cell>
          <cell r="H34">
            <v>9397956.4152072947</v>
          </cell>
          <cell r="I34">
            <v>10506424.644055469</v>
          </cell>
          <cell r="J34">
            <v>3.4062065953142202</v>
          </cell>
        </row>
        <row r="35">
          <cell r="B35" t="str">
            <v>UNT-Dallas</v>
          </cell>
        </row>
        <row r="36">
          <cell r="B36" t="str">
            <v>SFA</v>
          </cell>
          <cell r="C36">
            <v>7951750.2680135658</v>
          </cell>
          <cell r="D36">
            <v>3638934.4417986237</v>
          </cell>
          <cell r="E36">
            <v>4312815.8262149421</v>
          </cell>
          <cell r="F36">
            <v>3.611071961459376</v>
          </cell>
          <cell r="G36">
            <v>7951750.2680135658</v>
          </cell>
          <cell r="H36">
            <v>3638934.4417986237</v>
          </cell>
          <cell r="I36">
            <v>4312815.8262149421</v>
          </cell>
          <cell r="J36">
            <v>3.611071961459376</v>
          </cell>
        </row>
        <row r="37">
          <cell r="B37" t="str">
            <v>TSU</v>
          </cell>
          <cell r="C37">
            <v>7421912.7131648697</v>
          </cell>
          <cell r="D37">
            <v>3243567.6435353225</v>
          </cell>
          <cell r="E37">
            <v>4087445.0696295467</v>
          </cell>
          <cell r="F37">
            <v>3.8395332423224144</v>
          </cell>
          <cell r="G37">
            <v>7421912.7131648697</v>
          </cell>
          <cell r="H37">
            <v>3243567.6435353225</v>
          </cell>
          <cell r="I37">
            <v>4087445.0696295467</v>
          </cell>
          <cell r="J37">
            <v>3.8395332423224144</v>
          </cell>
        </row>
        <row r="38">
          <cell r="B38" t="str">
            <v>TTU</v>
          </cell>
          <cell r="C38">
            <v>20650090.76765744</v>
          </cell>
          <cell r="D38">
            <v>10638432.282100722</v>
          </cell>
          <cell r="E38">
            <v>10011658.485556718</v>
          </cell>
          <cell r="F38">
            <v>2.8673311668195378</v>
          </cell>
          <cell r="G38">
            <v>20650090.76765744</v>
          </cell>
          <cell r="H38">
            <v>10638432.282100722</v>
          </cell>
          <cell r="I38">
            <v>10011658.485556718</v>
          </cell>
          <cell r="J38">
            <v>2.8673311668195378</v>
          </cell>
        </row>
        <row r="39">
          <cell r="B39" t="str">
            <v>Angelo</v>
          </cell>
          <cell r="C39">
            <v>4496896.8643211806</v>
          </cell>
          <cell r="D39">
            <v>1799530.9755340645</v>
          </cell>
          <cell r="E39">
            <v>2153765.8887871164</v>
          </cell>
          <cell r="F39">
            <v>3.6466042171410593</v>
          </cell>
          <cell r="G39">
            <v>4496896.8643211806</v>
          </cell>
          <cell r="H39">
            <v>1799530.9755340645</v>
          </cell>
          <cell r="I39">
            <v>2153765.8887871164</v>
          </cell>
          <cell r="J39">
            <v>3.6466042171410593</v>
          </cell>
        </row>
        <row r="40">
          <cell r="B40" t="str">
            <v>TWU</v>
          </cell>
          <cell r="C40">
            <v>7086563.433688784</v>
          </cell>
          <cell r="D40">
            <v>3333630.9119578879</v>
          </cell>
          <cell r="E40">
            <v>3752932.5217308961</v>
          </cell>
          <cell r="F40">
            <v>3.4300677906599506</v>
          </cell>
          <cell r="G40">
            <v>7086563.433688784</v>
          </cell>
          <cell r="H40">
            <v>3333630.9119578879</v>
          </cell>
          <cell r="I40">
            <v>3752932.5217308961</v>
          </cell>
          <cell r="J40">
            <v>3.4300677906599506</v>
          </cell>
        </row>
        <row r="41">
          <cell r="B41" t="str">
            <v>Lamar</v>
          </cell>
          <cell r="C41">
            <v>6427769.9756425172</v>
          </cell>
          <cell r="D41">
            <v>3080426.7318351916</v>
          </cell>
          <cell r="E41">
            <v>3347343.2438073261</v>
          </cell>
          <cell r="F41">
            <v>3.3108448275905036</v>
          </cell>
          <cell r="G41">
            <v>6427769.9756425172</v>
          </cell>
          <cell r="H41">
            <v>3080426.7318351916</v>
          </cell>
          <cell r="I41">
            <v>3347343.2438073261</v>
          </cell>
          <cell r="J41">
            <v>3.3108448275905036</v>
          </cell>
        </row>
        <row r="42">
          <cell r="B42" t="str">
            <v>Sam Houston</v>
          </cell>
          <cell r="C42">
            <v>9369992.2746529952</v>
          </cell>
          <cell r="D42">
            <v>4423035.9957561856</v>
          </cell>
          <cell r="E42">
            <v>4946956.2788968086</v>
          </cell>
          <cell r="F42">
            <v>3.4077447740548363</v>
          </cell>
          <cell r="G42">
            <v>9369992.2746529952</v>
          </cell>
          <cell r="H42">
            <v>4423035.9957561856</v>
          </cell>
          <cell r="I42">
            <v>4946956.2788968086</v>
          </cell>
          <cell r="J42">
            <v>3.4077447740548363</v>
          </cell>
        </row>
        <row r="43">
          <cell r="B43" t="str">
            <v>TxStU-SM</v>
          </cell>
          <cell r="C43">
            <v>17399444.067978457</v>
          </cell>
          <cell r="D43">
            <v>8048751.5077306852</v>
          </cell>
          <cell r="E43">
            <v>9350692.5602477714</v>
          </cell>
          <cell r="F43">
            <v>3.5396858588110627</v>
          </cell>
          <cell r="G43">
            <v>17399444.067978457</v>
          </cell>
          <cell r="H43">
            <v>8048751.5077306852</v>
          </cell>
          <cell r="I43">
            <v>9350692.5602477714</v>
          </cell>
          <cell r="J43">
            <v>3.5396858588110627</v>
          </cell>
        </row>
        <row r="44">
          <cell r="B44" t="str">
            <v>Sul Ross</v>
          </cell>
          <cell r="C44">
            <v>2227260.59278293</v>
          </cell>
          <cell r="D44">
            <v>750798.75522258738</v>
          </cell>
          <cell r="E44">
            <v>726461.83756034251</v>
          </cell>
          <cell r="F44">
            <v>2.9480763251282296</v>
          </cell>
          <cell r="G44">
            <v>2227260.59278293</v>
          </cell>
          <cell r="H44">
            <v>750798.75522258738</v>
          </cell>
          <cell r="I44">
            <v>726461.83756034251</v>
          </cell>
          <cell r="J44">
            <v>2.9480763251282296</v>
          </cell>
        </row>
        <row r="45">
          <cell r="B45" t="str">
            <v>Sul Ross - Rio Grande</v>
          </cell>
          <cell r="C45">
            <v>1162832.3845749982</v>
          </cell>
          <cell r="D45">
            <v>209816.76622847948</v>
          </cell>
          <cell r="E45">
            <v>203015.61834651857</v>
          </cell>
          <cell r="F45">
            <v>2.9480763251282296</v>
          </cell>
          <cell r="G45">
            <v>1162832.3845749982</v>
          </cell>
          <cell r="H45">
            <v>209816.76622847948</v>
          </cell>
          <cell r="I45">
            <v>203015.61834651857</v>
          </cell>
          <cell r="J45">
            <v>2.9480763251282296</v>
          </cell>
        </row>
        <row r="46">
          <cell r="B46" t="str">
            <v>Total Universities</v>
          </cell>
          <cell r="C46">
            <v>369415898.50797188</v>
          </cell>
          <cell r="D46">
            <v>169210986.52987453</v>
          </cell>
          <cell r="E46">
            <v>188683411.97809732</v>
          </cell>
          <cell r="F46">
            <v>4.8333097921785289</v>
          </cell>
          <cell r="G46">
            <v>369212882.88962531</v>
          </cell>
          <cell r="H46">
            <v>169210986.52987453</v>
          </cell>
          <cell r="I46">
            <v>188480396.35975081</v>
          </cell>
          <cell r="J46">
            <v>4.8333097921785289</v>
          </cell>
        </row>
        <row r="47">
          <cell r="B47" t="str">
            <v>TSTC-Harlingen</v>
          </cell>
          <cell r="C47">
            <v>3376061.3175328746</v>
          </cell>
          <cell r="D47">
            <v>1250209.1131138436</v>
          </cell>
          <cell r="E47">
            <v>1824952.2044190313</v>
          </cell>
          <cell r="F47">
            <v>4.4475239620489564</v>
          </cell>
          <cell r="G47">
            <v>3376061.3175328746</v>
          </cell>
          <cell r="H47">
            <v>1250209.1131138436</v>
          </cell>
          <cell r="I47">
            <v>1824952.2044190313</v>
          </cell>
          <cell r="J47">
            <v>4.4475239620489564</v>
          </cell>
        </row>
        <row r="48">
          <cell r="B48" t="str">
            <v>TSTC-West Texas</v>
          </cell>
          <cell r="C48">
            <v>1514620.2803807168</v>
          </cell>
          <cell r="D48">
            <v>487792.57298760943</v>
          </cell>
          <cell r="E48">
            <v>651827.70739310735</v>
          </cell>
          <cell r="F48">
            <v>4.0714311566468968</v>
          </cell>
          <cell r="G48">
            <v>1514620.2803807168</v>
          </cell>
          <cell r="H48">
            <v>487792.57298760943</v>
          </cell>
          <cell r="I48">
            <v>651827.70739310735</v>
          </cell>
          <cell r="J48">
            <v>4.0714311566468968</v>
          </cell>
        </row>
        <row r="49">
          <cell r="B49" t="str">
            <v>TSTC-Marshall</v>
          </cell>
          <cell r="C49">
            <v>878242.34084549034</v>
          </cell>
          <cell r="D49">
            <v>263970.22458959487</v>
          </cell>
          <cell r="E49">
            <v>239272.11625589547</v>
          </cell>
          <cell r="F49">
            <v>2.7617642972673462</v>
          </cell>
          <cell r="G49">
            <v>878242.34084549034</v>
          </cell>
          <cell r="H49">
            <v>263970.22458959487</v>
          </cell>
          <cell r="I49">
            <v>239272.11625589547</v>
          </cell>
          <cell r="J49">
            <v>2.7617642972673462</v>
          </cell>
        </row>
        <row r="50">
          <cell r="B50" t="str">
            <v>TSTC-Waco</v>
          </cell>
          <cell r="C50">
            <v>4539559.6471351013</v>
          </cell>
          <cell r="D50">
            <v>1971481.175004225</v>
          </cell>
          <cell r="E50">
            <v>2329278.4721308765</v>
          </cell>
          <cell r="F50">
            <v>3.5997989045837429</v>
          </cell>
          <cell r="G50">
            <v>4539559.6471351013</v>
          </cell>
          <cell r="H50">
            <v>1971481.175004225</v>
          </cell>
          <cell r="I50">
            <v>2329278.4721308765</v>
          </cell>
          <cell r="J50">
            <v>3.5997989045837429</v>
          </cell>
        </row>
        <row r="51">
          <cell r="B51" t="str">
            <v>Lamar-IOT</v>
          </cell>
          <cell r="C51">
            <v>1936899.9556183179</v>
          </cell>
          <cell r="D51">
            <v>793917.11301613506</v>
          </cell>
          <cell r="E51">
            <v>767982.84260218288</v>
          </cell>
          <cell r="F51">
            <v>2.9473099918774222</v>
          </cell>
          <cell r="G51">
            <v>1936899.9556183179</v>
          </cell>
          <cell r="H51">
            <v>793917.11301613506</v>
          </cell>
          <cell r="I51">
            <v>767982.84260218288</v>
          </cell>
          <cell r="J51">
            <v>2.9473099918774222</v>
          </cell>
        </row>
        <row r="52">
          <cell r="B52" t="str">
            <v>Lamar-Orange</v>
          </cell>
          <cell r="C52">
            <v>1492620.6594097377</v>
          </cell>
          <cell r="D52">
            <v>502441.69358852494</v>
          </cell>
          <cell r="E52">
            <v>615178.96582121274</v>
          </cell>
          <cell r="F52">
            <v>3.7304847501964549</v>
          </cell>
          <cell r="G52">
            <v>1492620.6594097377</v>
          </cell>
          <cell r="H52">
            <v>502441.69358852494</v>
          </cell>
          <cell r="I52">
            <v>615178.96582121274</v>
          </cell>
          <cell r="J52">
            <v>3.7304847501964549</v>
          </cell>
        </row>
        <row r="53">
          <cell r="B53" t="str">
            <v>Lamar-Port Arthur</v>
          </cell>
          <cell r="C53">
            <v>1724200.769646351</v>
          </cell>
          <cell r="D53">
            <v>611371.62405544473</v>
          </cell>
          <cell r="E53">
            <v>737829.14559090626</v>
          </cell>
          <cell r="F53">
            <v>3.6770538583896819</v>
          </cell>
          <cell r="G53">
            <v>1724200.769646351</v>
          </cell>
          <cell r="H53">
            <v>611371.62405544473</v>
          </cell>
          <cell r="I53">
            <v>737829.14559090626</v>
          </cell>
          <cell r="J53">
            <v>3.6770538583896819</v>
          </cell>
        </row>
        <row r="54">
          <cell r="B54" t="str">
            <v>Total - TSTC and Lamar</v>
          </cell>
          <cell r="C54">
            <v>15462204.97056859</v>
          </cell>
          <cell r="D54">
            <v>5881183.5163553786</v>
          </cell>
          <cell r="E54">
            <v>7166321.4542132122</v>
          </cell>
          <cell r="F54">
            <v>3.6925698209547599</v>
          </cell>
          <cell r="G54">
            <v>15462204.97056859</v>
          </cell>
          <cell r="H54">
            <v>5881183.5163553786</v>
          </cell>
          <cell r="I54">
            <v>7166321.4542132122</v>
          </cell>
          <cell r="J54">
            <v>3.6925698209547599</v>
          </cell>
        </row>
        <row r="55">
          <cell r="B55" t="str">
            <v>Total</v>
          </cell>
          <cell r="C55">
            <v>384878103.47854042</v>
          </cell>
          <cell r="D55">
            <v>175092170.0462299</v>
          </cell>
          <cell r="E55">
            <v>195849733.43231052</v>
          </cell>
          <cell r="F55">
            <v>3.3007419167317709</v>
          </cell>
          <cell r="G55">
            <v>384675087.86019391</v>
          </cell>
          <cell r="H55">
            <v>175092170.0462299</v>
          </cell>
          <cell r="I55">
            <v>195646717.81396401</v>
          </cell>
          <cell r="J55">
            <v>3.3007419167317709</v>
          </cell>
        </row>
        <row r="56">
          <cell r="B56" t="str">
            <v>1.  Fall 2009 Space Projection Model, Published February 2010, except for the exclusion of TAMU agencies outside of Brazos County (see TAMU sheet) and the exclusion of Texas Southmost College.</v>
          </cell>
        </row>
        <row r="57">
          <cell r="B57" t="str">
            <v>2.  Formula Funding Advisory Committee (GA) Draft Report, December 2009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2EB44-916D-4996-8F12-794A7B09C085}">
  <sheetPr>
    <tabColor rgb="FF00B0F0"/>
    <pageSetUpPr fitToPage="1"/>
  </sheetPr>
  <dimension ref="A1:Z313"/>
  <sheetViews>
    <sheetView showGridLines="0" tabSelected="1" zoomScale="85" zoomScaleNormal="85" workbookViewId="0">
      <pane ySplit="6" topLeftCell="A89" activePane="bottomLeft" state="frozen"/>
      <selection activeCell="G3" sqref="G3"/>
      <selection pane="bottomLeft" activeCell="B6" sqref="B6"/>
    </sheetView>
  </sheetViews>
  <sheetFormatPr defaultRowHeight="12.75" x14ac:dyDescent="0.2"/>
  <cols>
    <col min="1" max="1" width="4.85546875" style="48" customWidth="1"/>
    <col min="2" max="2" width="32.140625" style="45" customWidth="1"/>
    <col min="3" max="3" width="16.85546875" style="48" customWidth="1"/>
    <col min="4" max="4" width="18.42578125" style="48" hidden="1" customWidth="1"/>
    <col min="5" max="6" width="16.85546875" style="48" customWidth="1"/>
    <col min="7" max="7" width="17.85546875" style="3" customWidth="1"/>
    <col min="8" max="8" width="10.140625" style="48" customWidth="1"/>
    <col min="9" max="9" width="16.42578125" style="48" customWidth="1"/>
    <col min="10" max="10" width="3.140625" style="48" customWidth="1"/>
    <col min="11" max="11" width="13.42578125" style="48" hidden="1" customWidth="1"/>
    <col min="12" max="12" width="15.28515625" style="48" hidden="1" customWidth="1"/>
    <col min="13" max="13" width="15" style="48" hidden="1" customWidth="1"/>
    <col min="14" max="14" width="17.42578125" style="48" hidden="1" customWidth="1"/>
    <col min="15" max="15" width="0" style="48" hidden="1" customWidth="1"/>
    <col min="16" max="16" width="20.85546875" style="48" hidden="1" customWidth="1"/>
    <col min="17" max="17" width="19" style="48" hidden="1" customWidth="1"/>
    <col min="18" max="18" width="16.5703125" style="48" hidden="1" customWidth="1"/>
    <col min="19" max="19" width="4.7109375" style="48" hidden="1" customWidth="1"/>
    <col min="20" max="20" width="17" style="48" hidden="1" customWidth="1"/>
    <col min="21" max="21" width="17.85546875" style="48" hidden="1" customWidth="1"/>
    <col min="22" max="22" width="0" style="48" hidden="1" customWidth="1"/>
    <col min="23" max="23" width="3.28515625" style="48" customWidth="1"/>
    <col min="24" max="24" width="19.28515625" style="48" customWidth="1"/>
    <col min="25" max="25" width="5.7109375" style="48" customWidth="1"/>
    <col min="26" max="26" width="17.28515625" style="48" customWidth="1"/>
    <col min="27" max="27" width="28" style="48" customWidth="1"/>
    <col min="28" max="28" width="19.5703125" style="48" customWidth="1"/>
    <col min="29" max="29" width="15.85546875" style="48" customWidth="1"/>
    <col min="30" max="16384" width="9.140625" style="48"/>
  </cols>
  <sheetData>
    <row r="1" spans="1:26" ht="14.25" customHeight="1" x14ac:dyDescent="0.2">
      <c r="E1" s="132" t="s">
        <v>9</v>
      </c>
      <c r="I1" s="133"/>
      <c r="K1" s="48" t="s">
        <v>61</v>
      </c>
    </row>
    <row r="2" spans="1:26" ht="14.25" customHeight="1" x14ac:dyDescent="0.2">
      <c r="E2" s="132" t="s">
        <v>69</v>
      </c>
      <c r="I2" s="133"/>
    </row>
    <row r="3" spans="1:26" ht="14.25" customHeight="1" x14ac:dyDescent="0.2">
      <c r="E3" s="132" t="s">
        <v>87</v>
      </c>
      <c r="I3" s="133"/>
      <c r="J3" s="45"/>
      <c r="K3" s="45"/>
      <c r="L3" s="45"/>
      <c r="M3" s="45"/>
      <c r="P3" s="80" t="s">
        <v>57</v>
      </c>
      <c r="Q3" s="80" t="s">
        <v>57</v>
      </c>
    </row>
    <row r="4" spans="1:26" ht="14.25" customHeight="1" x14ac:dyDescent="0.2">
      <c r="C4" s="134"/>
      <c r="E4" s="135" t="s">
        <v>88</v>
      </c>
      <c r="F4" s="134"/>
      <c r="H4" s="133"/>
      <c r="I4" s="133"/>
      <c r="J4" s="45"/>
      <c r="K4" s="45"/>
      <c r="L4" s="45"/>
      <c r="M4" s="45"/>
      <c r="P4" s="80" t="s">
        <v>70</v>
      </c>
      <c r="Q4" s="80" t="s">
        <v>70</v>
      </c>
      <c r="T4" s="1034" t="s">
        <v>60</v>
      </c>
      <c r="U4" s="1034"/>
    </row>
    <row r="5" spans="1:26" s="136" customFormat="1" ht="12.75" customHeight="1" x14ac:dyDescent="0.2">
      <c r="B5" s="137"/>
      <c r="C5" s="138"/>
      <c r="D5" s="138"/>
      <c r="E5" s="138"/>
      <c r="F5" s="138"/>
      <c r="G5" s="4"/>
      <c r="P5" s="80" t="s">
        <v>58</v>
      </c>
      <c r="Q5" s="80" t="s">
        <v>55</v>
      </c>
    </row>
    <row r="6" spans="1:26" ht="52.5" customHeight="1" x14ac:dyDescent="0.2">
      <c r="B6" s="44" t="s">
        <v>10</v>
      </c>
      <c r="C6" s="5" t="s">
        <v>74</v>
      </c>
      <c r="D6" s="59"/>
      <c r="E6" s="59"/>
      <c r="F6" s="59"/>
      <c r="G6" s="5" t="s">
        <v>79</v>
      </c>
      <c r="H6" s="21" t="s">
        <v>82</v>
      </c>
      <c r="I6" s="21" t="s">
        <v>42</v>
      </c>
      <c r="M6" s="81"/>
      <c r="P6" s="80" t="s">
        <v>56</v>
      </c>
      <c r="Q6" s="80" t="s">
        <v>56</v>
      </c>
      <c r="R6" s="81" t="s">
        <v>59</v>
      </c>
      <c r="T6" s="59" t="s">
        <v>44</v>
      </c>
      <c r="U6" s="59" t="s">
        <v>31</v>
      </c>
      <c r="X6" s="80"/>
      <c r="Y6" s="80"/>
      <c r="Z6" s="80"/>
    </row>
    <row r="7" spans="1:26" x14ac:dyDescent="0.2">
      <c r="A7" s="48">
        <v>1</v>
      </c>
      <c r="B7" s="56" t="s">
        <v>8</v>
      </c>
      <c r="C7" s="139">
        <v>108331850</v>
      </c>
      <c r="D7" s="140"/>
      <c r="E7" s="140"/>
      <c r="F7" s="140"/>
      <c r="G7" s="9">
        <v>107678232</v>
      </c>
      <c r="H7" s="141">
        <f t="shared" ref="H7:H21" si="0">(G7-C7)/C7</f>
        <v>-6.0334795353351759E-3</v>
      </c>
      <c r="I7" s="142">
        <f t="shared" ref="I7:I22" si="1">G7-C7</f>
        <v>-653618</v>
      </c>
      <c r="M7" s="75"/>
      <c r="N7" s="134">
        <f t="shared" ref="N7:N16" si="2">M7-G7</f>
        <v>-107678232</v>
      </c>
      <c r="P7" s="75">
        <v>103219664</v>
      </c>
      <c r="Q7" s="75">
        <v>102796900</v>
      </c>
      <c r="R7" s="134">
        <f>Q7-P7</f>
        <v>-422764</v>
      </c>
      <c r="T7" s="140">
        <v>-422764</v>
      </c>
      <c r="U7" s="140">
        <v>7558682</v>
      </c>
      <c r="X7" s="134"/>
    </row>
    <row r="8" spans="1:26" x14ac:dyDescent="0.2">
      <c r="A8" s="48">
        <v>2</v>
      </c>
      <c r="B8" s="56" t="s">
        <v>3</v>
      </c>
      <c r="C8" s="143">
        <v>145204926</v>
      </c>
      <c r="D8" s="144"/>
      <c r="E8" s="144"/>
      <c r="F8" s="144"/>
      <c r="G8" s="10">
        <v>147504012</v>
      </c>
      <c r="H8" s="141">
        <f t="shared" si="0"/>
        <v>1.5833388462317043E-2</v>
      </c>
      <c r="I8" s="145">
        <f t="shared" si="1"/>
        <v>2299086</v>
      </c>
      <c r="M8" s="76"/>
      <c r="N8" s="76">
        <f t="shared" si="2"/>
        <v>-147504012</v>
      </c>
      <c r="P8" s="76">
        <v>114193804</v>
      </c>
      <c r="Q8" s="76">
        <v>118879276</v>
      </c>
      <c r="R8" s="76">
        <f t="shared" ref="R8:R16" si="3">Q8-P8</f>
        <v>4685472</v>
      </c>
      <c r="T8" s="144">
        <v>3608172</v>
      </c>
      <c r="U8" s="144">
        <v>8741222</v>
      </c>
      <c r="X8" s="146"/>
    </row>
    <row r="9" spans="1:26" x14ac:dyDescent="0.2">
      <c r="A9" s="48">
        <v>3</v>
      </c>
      <c r="B9" s="56" t="s">
        <v>4</v>
      </c>
      <c r="C9" s="143">
        <v>229620122</v>
      </c>
      <c r="D9" s="144"/>
      <c r="E9" s="144"/>
      <c r="F9" s="144"/>
      <c r="G9" s="10">
        <v>238481826</v>
      </c>
      <c r="H9" s="141">
        <f t="shared" si="0"/>
        <v>3.8592889520370516E-2</v>
      </c>
      <c r="I9" s="145">
        <f t="shared" si="1"/>
        <v>8861704</v>
      </c>
      <c r="M9" s="76"/>
      <c r="N9" s="76">
        <f t="shared" si="2"/>
        <v>-238481826</v>
      </c>
      <c r="P9" s="76">
        <v>182377280</v>
      </c>
      <c r="Q9" s="76">
        <v>185943912</v>
      </c>
      <c r="R9" s="76">
        <f t="shared" si="3"/>
        <v>3566632</v>
      </c>
      <c r="T9" s="144">
        <v>2754290</v>
      </c>
      <c r="U9" s="144">
        <v>13672498</v>
      </c>
      <c r="X9" s="146"/>
    </row>
    <row r="10" spans="1:26" x14ac:dyDescent="0.2">
      <c r="A10" s="48">
        <v>4</v>
      </c>
      <c r="B10" s="56" t="s">
        <v>6</v>
      </c>
      <c r="C10" s="143">
        <v>176130036</v>
      </c>
      <c r="D10" s="144"/>
      <c r="E10" s="144"/>
      <c r="F10" s="144"/>
      <c r="G10" s="10">
        <v>177614742</v>
      </c>
      <c r="H10" s="141">
        <f t="shared" si="0"/>
        <v>8.4296014110847063E-3</v>
      </c>
      <c r="I10" s="145">
        <f t="shared" si="1"/>
        <v>1484706</v>
      </c>
      <c r="M10" s="76"/>
      <c r="N10" s="76">
        <f t="shared" si="2"/>
        <v>-177614742</v>
      </c>
      <c r="P10" s="76">
        <v>154115466</v>
      </c>
      <c r="Q10" s="76">
        <v>156237222</v>
      </c>
      <c r="R10" s="76">
        <f t="shared" si="3"/>
        <v>2121756</v>
      </c>
      <c r="T10" s="144">
        <v>927952</v>
      </c>
      <c r="U10" s="144">
        <v>11488156</v>
      </c>
      <c r="X10" s="146"/>
    </row>
    <row r="11" spans="1:26" x14ac:dyDescent="0.2">
      <c r="A11" s="48">
        <v>5</v>
      </c>
      <c r="B11" s="56" t="s">
        <v>2</v>
      </c>
      <c r="C11" s="143">
        <v>7798550</v>
      </c>
      <c r="D11" s="144"/>
      <c r="E11" s="144"/>
      <c r="F11" s="144"/>
      <c r="G11" s="10">
        <v>7552044</v>
      </c>
      <c r="H11" s="141">
        <f t="shared" si="0"/>
        <v>-3.160920940431234E-2</v>
      </c>
      <c r="I11" s="145">
        <f t="shared" si="1"/>
        <v>-246506</v>
      </c>
      <c r="M11" s="76"/>
      <c r="N11" s="76">
        <f t="shared" si="2"/>
        <v>-7552044</v>
      </c>
      <c r="P11" s="76">
        <v>5584258</v>
      </c>
      <c r="Q11" s="76">
        <v>6614922</v>
      </c>
      <c r="R11" s="76">
        <f t="shared" si="3"/>
        <v>1030664</v>
      </c>
      <c r="T11" s="144">
        <v>1030664</v>
      </c>
      <c r="U11" s="144">
        <v>486398</v>
      </c>
      <c r="X11" s="146"/>
    </row>
    <row r="12" spans="1:26" x14ac:dyDescent="0.2">
      <c r="A12" s="48">
        <v>6</v>
      </c>
      <c r="B12" s="56" t="s">
        <v>5</v>
      </c>
      <c r="C12" s="143">
        <v>2222624</v>
      </c>
      <c r="D12" s="144"/>
      <c r="E12" s="144"/>
      <c r="F12" s="144"/>
      <c r="G12" s="10">
        <v>4167770</v>
      </c>
      <c r="H12" s="141">
        <f t="shared" si="0"/>
        <v>0.87515747152914758</v>
      </c>
      <c r="I12" s="145">
        <f t="shared" si="1"/>
        <v>1945146</v>
      </c>
      <c r="M12" s="76"/>
      <c r="N12" s="76">
        <f t="shared" si="2"/>
        <v>-4167770</v>
      </c>
      <c r="P12" s="76">
        <v>0</v>
      </c>
      <c r="Q12" s="76">
        <v>70104</v>
      </c>
      <c r="R12" s="76">
        <f t="shared" si="3"/>
        <v>70104</v>
      </c>
      <c r="T12" s="144">
        <v>222294</v>
      </c>
      <c r="U12" s="144">
        <v>5156</v>
      </c>
      <c r="X12" s="146"/>
    </row>
    <row r="13" spans="1:26" x14ac:dyDescent="0.2">
      <c r="A13" s="48">
        <v>7</v>
      </c>
      <c r="B13" s="56" t="s">
        <v>7</v>
      </c>
      <c r="C13" s="143">
        <v>182038950</v>
      </c>
      <c r="D13" s="144"/>
      <c r="E13" s="144"/>
      <c r="F13" s="144"/>
      <c r="G13" s="10">
        <v>183277542</v>
      </c>
      <c r="H13" s="141">
        <f t="shared" si="0"/>
        <v>6.8039944198755265E-3</v>
      </c>
      <c r="I13" s="145">
        <f t="shared" si="1"/>
        <v>1238592</v>
      </c>
      <c r="M13" s="76"/>
      <c r="N13" s="76">
        <f t="shared" si="2"/>
        <v>-183277542</v>
      </c>
      <c r="P13" s="76">
        <v>114240160</v>
      </c>
      <c r="Q13" s="76">
        <v>133631774</v>
      </c>
      <c r="R13" s="76">
        <f t="shared" si="3"/>
        <v>19391614</v>
      </c>
      <c r="T13" s="144">
        <v>29697800</v>
      </c>
      <c r="U13" s="144">
        <v>9825974</v>
      </c>
      <c r="X13" s="146"/>
    </row>
    <row r="14" spans="1:26" x14ac:dyDescent="0.2">
      <c r="A14" s="48">
        <v>8</v>
      </c>
      <c r="B14" s="56" t="s">
        <v>24</v>
      </c>
      <c r="C14" s="143">
        <v>133222786</v>
      </c>
      <c r="D14" s="144"/>
      <c r="E14" s="144"/>
      <c r="F14" s="144"/>
      <c r="G14" s="10">
        <v>135799752</v>
      </c>
      <c r="H14" s="141">
        <f t="shared" si="0"/>
        <v>1.9343282612330297E-2</v>
      </c>
      <c r="I14" s="145">
        <f t="shared" si="1"/>
        <v>2576966</v>
      </c>
      <c r="M14" s="76"/>
      <c r="N14" s="76">
        <f t="shared" si="2"/>
        <v>-135799752</v>
      </c>
      <c r="P14" s="76">
        <v>84235668</v>
      </c>
      <c r="Q14" s="76">
        <v>101741298</v>
      </c>
      <c r="R14" s="76">
        <f t="shared" si="3"/>
        <v>17505630</v>
      </c>
      <c r="T14" s="144">
        <v>17505630</v>
      </c>
      <c r="U14" s="144">
        <v>7481058</v>
      </c>
      <c r="X14" s="146"/>
    </row>
    <row r="15" spans="1:26" x14ac:dyDescent="0.2">
      <c r="A15" s="48">
        <v>9</v>
      </c>
      <c r="B15" s="56" t="s">
        <v>1</v>
      </c>
      <c r="C15" s="143">
        <v>201122344</v>
      </c>
      <c r="D15" s="144"/>
      <c r="E15" s="144"/>
      <c r="F15" s="144"/>
      <c r="G15" s="10">
        <v>204217746</v>
      </c>
      <c r="H15" s="141">
        <f t="shared" si="0"/>
        <v>1.5390642026328014E-2</v>
      </c>
      <c r="I15" s="145">
        <f t="shared" si="1"/>
        <v>3095402</v>
      </c>
      <c r="K15" s="48" t="s">
        <v>54</v>
      </c>
      <c r="M15" s="77"/>
      <c r="N15" s="77">
        <f t="shared" si="2"/>
        <v>-204217746</v>
      </c>
      <c r="P15" s="77">
        <f>136624154-P20</f>
        <v>136624154</v>
      </c>
      <c r="Q15" s="77">
        <v>137192584</v>
      </c>
      <c r="R15" s="77">
        <f t="shared" si="3"/>
        <v>568430</v>
      </c>
      <c r="T15" s="144">
        <v>20377758</v>
      </c>
      <c r="U15" s="144">
        <v>10087802</v>
      </c>
      <c r="X15" s="146"/>
    </row>
    <row r="16" spans="1:26" x14ac:dyDescent="0.2">
      <c r="A16" s="48">
        <v>10</v>
      </c>
      <c r="B16" s="56" t="s">
        <v>53</v>
      </c>
      <c r="C16" s="143">
        <v>45895012</v>
      </c>
      <c r="D16" s="147"/>
      <c r="E16" s="144"/>
      <c r="F16" s="144"/>
      <c r="G16" s="10">
        <v>47865628</v>
      </c>
      <c r="H16" s="141">
        <f t="shared" si="0"/>
        <v>4.2937476517055928E-2</v>
      </c>
      <c r="I16" s="145">
        <f t="shared" si="1"/>
        <v>1970616</v>
      </c>
      <c r="M16" s="78"/>
      <c r="N16" s="78">
        <f t="shared" si="2"/>
        <v>-47865628</v>
      </c>
      <c r="P16" s="78">
        <f>7939712*2</f>
        <v>15879424</v>
      </c>
      <c r="Q16" s="78">
        <v>24194260</v>
      </c>
      <c r="R16" s="78">
        <f t="shared" si="3"/>
        <v>8314836</v>
      </c>
      <c r="T16" s="147">
        <v>8944142</v>
      </c>
      <c r="U16" s="147">
        <v>1779012</v>
      </c>
      <c r="X16" s="146"/>
    </row>
    <row r="17" spans="1:24" x14ac:dyDescent="0.2">
      <c r="A17" s="48">
        <v>11</v>
      </c>
      <c r="B17" s="56" t="s">
        <v>65</v>
      </c>
      <c r="C17" s="143">
        <v>14176848</v>
      </c>
      <c r="D17" s="144"/>
      <c r="E17" s="144"/>
      <c r="F17" s="89"/>
      <c r="G17" s="10">
        <v>17743926</v>
      </c>
      <c r="H17" s="141">
        <f t="shared" si="0"/>
        <v>0.25161291141726283</v>
      </c>
      <c r="I17" s="145">
        <f t="shared" si="1"/>
        <v>3567078</v>
      </c>
      <c r="M17" s="77"/>
      <c r="N17" s="77"/>
      <c r="P17" s="77"/>
      <c r="Q17" s="77"/>
      <c r="R17" s="77"/>
      <c r="T17" s="144"/>
      <c r="U17" s="144"/>
      <c r="X17" s="146"/>
    </row>
    <row r="18" spans="1:24" x14ac:dyDescent="0.2">
      <c r="A18" s="48">
        <v>12</v>
      </c>
      <c r="B18" s="56" t="s">
        <v>64</v>
      </c>
      <c r="C18" s="143">
        <v>13536602</v>
      </c>
      <c r="D18" s="144"/>
      <c r="E18" s="144"/>
      <c r="F18" s="89"/>
      <c r="G18" s="10">
        <v>20213440</v>
      </c>
      <c r="H18" s="141">
        <f t="shared" si="0"/>
        <v>0.49324328217672353</v>
      </c>
      <c r="I18" s="145">
        <f t="shared" si="1"/>
        <v>6676838</v>
      </c>
      <c r="M18" s="77"/>
      <c r="N18" s="77">
        <f>M18-G18</f>
        <v>-20213440</v>
      </c>
      <c r="P18" s="77">
        <f>7939712*2</f>
        <v>15879424</v>
      </c>
      <c r="Q18" s="77">
        <v>24194260</v>
      </c>
      <c r="R18" s="77">
        <f t="shared" ref="R18" si="4">Q18-P18</f>
        <v>8314836</v>
      </c>
      <c r="T18" s="144">
        <v>8944142</v>
      </c>
      <c r="U18" s="144">
        <v>1779012</v>
      </c>
      <c r="X18" s="146"/>
    </row>
    <row r="19" spans="1:24" x14ac:dyDescent="0.2">
      <c r="A19" s="48">
        <v>13</v>
      </c>
      <c r="B19" s="56" t="s">
        <v>745</v>
      </c>
      <c r="C19" s="143">
        <v>0</v>
      </c>
      <c r="D19" s="144"/>
      <c r="E19" s="144"/>
      <c r="F19" s="89"/>
      <c r="G19" s="10">
        <v>2743906</v>
      </c>
      <c r="H19" s="141"/>
      <c r="I19" s="145">
        <f t="shared" si="1"/>
        <v>2743906</v>
      </c>
      <c r="M19" s="77"/>
      <c r="N19" s="77"/>
      <c r="P19" s="77"/>
      <c r="Q19" s="77"/>
      <c r="R19" s="77"/>
      <c r="T19" s="144"/>
      <c r="U19" s="144"/>
      <c r="X19" s="146"/>
    </row>
    <row r="20" spans="1:24" x14ac:dyDescent="0.2">
      <c r="B20" s="56"/>
      <c r="C20" s="143"/>
      <c r="D20" s="147"/>
      <c r="E20" s="147"/>
      <c r="F20" s="147"/>
      <c r="G20" s="11"/>
      <c r="H20" s="141"/>
      <c r="I20" s="145"/>
      <c r="M20" s="78"/>
      <c r="N20" s="78"/>
      <c r="P20" s="78"/>
      <c r="Q20" s="78"/>
      <c r="R20" s="78"/>
      <c r="T20" s="147"/>
      <c r="U20" s="147"/>
      <c r="X20" s="146"/>
    </row>
    <row r="21" spans="1:24" x14ac:dyDescent="0.2">
      <c r="B21" s="7" t="s">
        <v>0</v>
      </c>
      <c r="C21" s="148">
        <f t="shared" ref="C21:G21" si="5">SUM(C7:C20)</f>
        <v>1259300650</v>
      </c>
      <c r="D21" s="149">
        <f t="shared" si="5"/>
        <v>0</v>
      </c>
      <c r="E21" s="149">
        <f t="shared" si="5"/>
        <v>0</v>
      </c>
      <c r="F21" s="149">
        <f t="shared" si="5"/>
        <v>0</v>
      </c>
      <c r="G21" s="15">
        <f t="shared" si="5"/>
        <v>1294860566</v>
      </c>
      <c r="H21" s="93">
        <f t="shared" si="0"/>
        <v>2.8237828671016728E-2</v>
      </c>
      <c r="I21" s="150">
        <f t="shared" si="1"/>
        <v>35559916</v>
      </c>
      <c r="K21" s="151"/>
      <c r="M21" s="79">
        <f>SUM(M7:M20)</f>
        <v>0</v>
      </c>
      <c r="N21" s="79">
        <f>SUM(N7:N20)</f>
        <v>-1274372734</v>
      </c>
      <c r="P21" s="79">
        <f>SUM(P7:P20)</f>
        <v>926349302</v>
      </c>
      <c r="Q21" s="79">
        <f>SUM(Q7:Q20)</f>
        <v>991496512</v>
      </c>
      <c r="R21" s="79">
        <f>SUM(R7:R20)</f>
        <v>65147210</v>
      </c>
      <c r="T21" s="149">
        <f t="shared" ref="T21:U21" si="6">SUM(T7:T20)</f>
        <v>93590080</v>
      </c>
      <c r="U21" s="149">
        <f t="shared" si="6"/>
        <v>72904970</v>
      </c>
      <c r="X21" s="146"/>
    </row>
    <row r="22" spans="1:24" x14ac:dyDescent="0.2">
      <c r="B22" s="129" t="s">
        <v>20</v>
      </c>
      <c r="C22" s="152">
        <f>C21/C$81</f>
        <v>0.77614375882472475</v>
      </c>
      <c r="D22" s="153"/>
      <c r="E22" s="153"/>
      <c r="F22" s="153"/>
      <c r="G22" s="16">
        <f>G21/G$81</f>
        <v>0.76275664634304319</v>
      </c>
      <c r="H22" s="154"/>
      <c r="I22" s="141">
        <f t="shared" si="1"/>
        <v>-1.3387112481681562E-2</v>
      </c>
      <c r="K22" s="134"/>
      <c r="X22" s="146"/>
    </row>
    <row r="23" spans="1:24" x14ac:dyDescent="0.2">
      <c r="B23" s="27" t="s">
        <v>19</v>
      </c>
      <c r="C23" s="152"/>
      <c r="D23" s="153"/>
      <c r="E23" s="155">
        <f>E21/C21</f>
        <v>0</v>
      </c>
      <c r="F23" s="155">
        <f>F21/C21</f>
        <v>0</v>
      </c>
      <c r="G23" s="8"/>
      <c r="H23" s="154"/>
      <c r="I23" s="156"/>
      <c r="N23" s="48">
        <v>-1309662844</v>
      </c>
      <c r="X23" s="146"/>
    </row>
    <row r="24" spans="1:24" x14ac:dyDescent="0.2">
      <c r="B24" s="56" t="s">
        <v>30</v>
      </c>
      <c r="C24" s="34">
        <v>9621.6635067952921</v>
      </c>
      <c r="D24" s="83"/>
      <c r="E24" s="83"/>
      <c r="F24" s="157"/>
      <c r="G24" s="35">
        <v>9621.6635067952921</v>
      </c>
      <c r="H24" s="158">
        <f>(G24-C24)/C24</f>
        <v>0</v>
      </c>
      <c r="I24" s="145">
        <f>G24-C24</f>
        <v>0</v>
      </c>
      <c r="K24" s="48">
        <v>9710</v>
      </c>
      <c r="L24" s="159">
        <f>G24/K24</f>
        <v>0.99090252387181177</v>
      </c>
    </row>
    <row r="25" spans="1:24" x14ac:dyDescent="0.2">
      <c r="B25" s="102" t="s">
        <v>18</v>
      </c>
      <c r="C25" s="99">
        <v>28365.84</v>
      </c>
      <c r="D25" s="160"/>
      <c r="E25" s="161"/>
      <c r="F25" s="103"/>
      <c r="G25" s="100">
        <v>29531.11</v>
      </c>
      <c r="H25" s="94">
        <f>(G25-C25)/C25</f>
        <v>4.1080045575946293E-2</v>
      </c>
      <c r="I25" s="145">
        <f>G25-C25</f>
        <v>1165.2700000000004</v>
      </c>
      <c r="K25" s="134">
        <f>K24-G24</f>
        <v>88.336493204707949</v>
      </c>
      <c r="L25" s="48">
        <f>K25/G24</f>
        <v>9.1810000570400705E-3</v>
      </c>
      <c r="R25" s="146"/>
    </row>
    <row r="26" spans="1:24" hidden="1" x14ac:dyDescent="0.2">
      <c r="B26" s="12" t="s">
        <v>68</v>
      </c>
      <c r="C26" s="162">
        <f>SUM(C7:C16)</f>
        <v>1231587200</v>
      </c>
      <c r="D26" s="163"/>
      <c r="E26" s="163"/>
      <c r="F26" s="163"/>
      <c r="G26" s="162">
        <f>SUM(G7:G16)</f>
        <v>1254159294</v>
      </c>
      <c r="H26" s="164">
        <f t="shared" ref="H26:H28" si="7">(G26-C26)/C26</f>
        <v>1.8327645821586972E-2</v>
      </c>
      <c r="I26" s="165">
        <f t="shared" ref="I26:I28" si="8">G26-C26</f>
        <v>22572094</v>
      </c>
    </row>
    <row r="27" spans="1:24" hidden="1" x14ac:dyDescent="0.2">
      <c r="B27" s="12" t="s">
        <v>66</v>
      </c>
      <c r="C27" s="77">
        <f>SUM(C17:C18)</f>
        <v>27713450</v>
      </c>
      <c r="D27" s="163"/>
      <c r="E27" s="163"/>
      <c r="F27" s="163"/>
      <c r="G27" s="77">
        <f>SUM(G17:G18)</f>
        <v>37957366</v>
      </c>
      <c r="H27" s="166"/>
      <c r="I27" s="167">
        <f t="shared" si="8"/>
        <v>10243916</v>
      </c>
    </row>
    <row r="28" spans="1:24" ht="13.5" hidden="1" thickBot="1" x14ac:dyDescent="0.25">
      <c r="B28" s="69" t="s">
        <v>67</v>
      </c>
      <c r="C28" s="168">
        <f>SUM(C26:C27)</f>
        <v>1259300650</v>
      </c>
      <c r="D28" s="169"/>
      <c r="E28" s="169"/>
      <c r="F28" s="169"/>
      <c r="G28" s="85">
        <f>SUM(G26:G27)</f>
        <v>1292116660</v>
      </c>
      <c r="H28" s="170">
        <f t="shared" si="7"/>
        <v>2.6058916113479335E-2</v>
      </c>
      <c r="I28" s="171">
        <f t="shared" si="8"/>
        <v>32816010</v>
      </c>
    </row>
    <row r="29" spans="1:24" ht="14.25" x14ac:dyDescent="0.2">
      <c r="B29" s="1"/>
      <c r="C29" s="172"/>
      <c r="D29" s="153"/>
      <c r="E29" s="153"/>
      <c r="F29" s="153"/>
      <c r="G29" s="16"/>
      <c r="H29" s="156"/>
      <c r="I29" s="156"/>
    </row>
    <row r="30" spans="1:24" ht="47.25" customHeight="1" x14ac:dyDescent="0.2">
      <c r="B30" s="44" t="s">
        <v>11</v>
      </c>
      <c r="C30" s="59" t="str">
        <f>$C$6</f>
        <v>Total FY 20-21  Appropriations</v>
      </c>
      <c r="D30" s="59"/>
      <c r="E30" s="59"/>
      <c r="F30" s="59"/>
      <c r="G30" s="84" t="str">
        <f>G$6</f>
        <v>Appropriations Act FY 22-23</v>
      </c>
      <c r="H30" s="5" t="str">
        <f>H$6</f>
        <v>% Change/w FY 20-21</v>
      </c>
      <c r="I30" s="5" t="str">
        <f>I$6</f>
        <v>$ Change</v>
      </c>
    </row>
    <row r="31" spans="1:24" x14ac:dyDescent="0.2">
      <c r="A31" s="48">
        <v>1</v>
      </c>
      <c r="B31" s="56" t="s">
        <v>8</v>
      </c>
      <c r="C31" s="139">
        <v>54436104</v>
      </c>
      <c r="D31" s="140"/>
      <c r="E31" s="140"/>
      <c r="F31" s="140"/>
      <c r="G31" s="9">
        <v>60226264</v>
      </c>
      <c r="H31" s="141">
        <f t="shared" ref="H31:H42" si="9">(G31-C31)/C31</f>
        <v>0.1063661719802725</v>
      </c>
      <c r="I31" s="142">
        <f t="shared" ref="I31:I43" si="10">G31-C31</f>
        <v>5790160</v>
      </c>
    </row>
    <row r="32" spans="1:24" x14ac:dyDescent="0.2">
      <c r="A32" s="48">
        <v>2</v>
      </c>
      <c r="B32" s="56" t="s">
        <v>3</v>
      </c>
      <c r="C32" s="143">
        <v>26584828</v>
      </c>
      <c r="D32" s="144"/>
      <c r="E32" s="144"/>
      <c r="F32" s="144"/>
      <c r="G32" s="10">
        <v>28146740</v>
      </c>
      <c r="H32" s="141">
        <f t="shared" si="9"/>
        <v>5.875200697179609E-2</v>
      </c>
      <c r="I32" s="145">
        <f t="shared" si="10"/>
        <v>1561912</v>
      </c>
      <c r="R32" s="144"/>
      <c r="T32" s="146">
        <f>R8-T8</f>
        <v>1077300</v>
      </c>
    </row>
    <row r="33" spans="1:24" ht="12.75" customHeight="1" x14ac:dyDescent="0.2">
      <c r="A33" s="48">
        <v>3</v>
      </c>
      <c r="B33" s="56" t="s">
        <v>4</v>
      </c>
      <c r="C33" s="143">
        <v>45498806</v>
      </c>
      <c r="D33" s="144"/>
      <c r="E33" s="144"/>
      <c r="F33" s="144"/>
      <c r="G33" s="10">
        <v>48044946</v>
      </c>
      <c r="H33" s="141">
        <f t="shared" si="9"/>
        <v>5.5960589383378542E-2</v>
      </c>
      <c r="I33" s="145">
        <f t="shared" si="10"/>
        <v>2546140</v>
      </c>
      <c r="R33" s="144"/>
    </row>
    <row r="34" spans="1:24" ht="12" customHeight="1" x14ac:dyDescent="0.2">
      <c r="A34" s="48">
        <v>4</v>
      </c>
      <c r="B34" s="56" t="s">
        <v>6</v>
      </c>
      <c r="C34" s="143">
        <v>29687022</v>
      </c>
      <c r="D34" s="144"/>
      <c r="E34" s="144"/>
      <c r="F34" s="144"/>
      <c r="G34" s="10">
        <v>31077656</v>
      </c>
      <c r="H34" s="141">
        <f t="shared" si="9"/>
        <v>4.6843162645279809E-2</v>
      </c>
      <c r="I34" s="145">
        <f t="shared" si="10"/>
        <v>1390634</v>
      </c>
      <c r="R34" s="144"/>
    </row>
    <row r="35" spans="1:24" ht="13.5" customHeight="1" x14ac:dyDescent="0.2">
      <c r="A35" s="48">
        <v>5</v>
      </c>
      <c r="B35" s="56" t="s">
        <v>2</v>
      </c>
      <c r="C35" s="143">
        <v>63293346</v>
      </c>
      <c r="D35" s="144"/>
      <c r="E35" s="144"/>
      <c r="F35" s="144"/>
      <c r="G35" s="10">
        <v>68397324</v>
      </c>
      <c r="H35" s="141">
        <f t="shared" si="9"/>
        <v>8.0640040739827529E-2</v>
      </c>
      <c r="I35" s="145">
        <f t="shared" si="10"/>
        <v>5103978</v>
      </c>
      <c r="R35" s="144"/>
    </row>
    <row r="36" spans="1:24" ht="12" customHeight="1" x14ac:dyDescent="0.2">
      <c r="A36" s="48">
        <v>6</v>
      </c>
      <c r="B36" s="56" t="s">
        <v>5</v>
      </c>
      <c r="C36" s="143">
        <v>3020740</v>
      </c>
      <c r="D36" s="144"/>
      <c r="E36" s="144"/>
      <c r="F36" s="144"/>
      <c r="G36" s="10">
        <v>3591562</v>
      </c>
      <c r="H36" s="141">
        <f t="shared" si="9"/>
        <v>0.18896760396459145</v>
      </c>
      <c r="I36" s="145">
        <f t="shared" si="10"/>
        <v>570822</v>
      </c>
      <c r="R36" s="144"/>
    </row>
    <row r="37" spans="1:24" x14ac:dyDescent="0.2">
      <c r="A37" s="48">
        <v>7</v>
      </c>
      <c r="B37" s="56" t="s">
        <v>7</v>
      </c>
      <c r="C37" s="143">
        <v>17391264</v>
      </c>
      <c r="D37" s="144"/>
      <c r="E37" s="144"/>
      <c r="F37" s="144"/>
      <c r="G37" s="10">
        <v>23382498</v>
      </c>
      <c r="H37" s="141">
        <f t="shared" si="9"/>
        <v>0.34449675423246984</v>
      </c>
      <c r="I37" s="145">
        <f t="shared" si="10"/>
        <v>5991234</v>
      </c>
      <c r="R37" s="144"/>
    </row>
    <row r="38" spans="1:24" x14ac:dyDescent="0.2">
      <c r="A38" s="48">
        <v>8</v>
      </c>
      <c r="B38" s="56" t="s">
        <v>24</v>
      </c>
      <c r="C38" s="143">
        <v>8838510</v>
      </c>
      <c r="D38" s="144"/>
      <c r="E38" s="144"/>
      <c r="F38" s="144"/>
      <c r="G38" s="10">
        <v>8853548</v>
      </c>
      <c r="H38" s="141">
        <f t="shared" si="9"/>
        <v>1.7014179991876458E-3</v>
      </c>
      <c r="I38" s="145">
        <f t="shared" si="10"/>
        <v>15038</v>
      </c>
      <c r="R38" s="144"/>
    </row>
    <row r="39" spans="1:24" x14ac:dyDescent="0.2">
      <c r="A39" s="48">
        <v>9</v>
      </c>
      <c r="B39" s="56" t="s">
        <v>1</v>
      </c>
      <c r="C39" s="143">
        <v>18672908</v>
      </c>
      <c r="D39" s="144"/>
      <c r="E39" s="144"/>
      <c r="F39" s="144"/>
      <c r="G39" s="10">
        <v>19381704</v>
      </c>
      <c r="H39" s="141">
        <f t="shared" si="9"/>
        <v>3.7958522582556505E-2</v>
      </c>
      <c r="I39" s="145">
        <f t="shared" si="10"/>
        <v>708796</v>
      </c>
      <c r="R39" s="144"/>
    </row>
    <row r="40" spans="1:24" x14ac:dyDescent="0.2">
      <c r="A40" s="48">
        <v>10</v>
      </c>
      <c r="B40" s="56" t="s">
        <v>53</v>
      </c>
      <c r="C40" s="143">
        <v>5756794</v>
      </c>
      <c r="D40" s="144"/>
      <c r="E40" s="144"/>
      <c r="F40" s="144"/>
      <c r="G40" s="10">
        <v>6119876</v>
      </c>
      <c r="H40" s="141">
        <f t="shared" si="9"/>
        <v>6.307017412816926E-2</v>
      </c>
      <c r="I40" s="145">
        <f t="shared" si="10"/>
        <v>363082</v>
      </c>
      <c r="R40" s="144"/>
    </row>
    <row r="41" spans="1:24" x14ac:dyDescent="0.2">
      <c r="A41" s="48">
        <v>11</v>
      </c>
      <c r="B41" s="56" t="s">
        <v>65</v>
      </c>
      <c r="C41" s="143">
        <v>2799190</v>
      </c>
      <c r="D41" s="144"/>
      <c r="E41" s="144"/>
      <c r="F41" s="89"/>
      <c r="G41" s="10">
        <v>4860366</v>
      </c>
      <c r="H41" s="141">
        <f t="shared" si="9"/>
        <v>0.73634730046906427</v>
      </c>
      <c r="I41" s="145">
        <f t="shared" si="10"/>
        <v>2061176</v>
      </c>
      <c r="M41" s="77"/>
      <c r="N41" s="77"/>
      <c r="P41" s="77"/>
      <c r="Q41" s="77"/>
      <c r="R41" s="77"/>
      <c r="T41" s="144"/>
      <c r="U41" s="144"/>
      <c r="X41" s="146"/>
    </row>
    <row r="42" spans="1:24" x14ac:dyDescent="0.2">
      <c r="A42" s="48">
        <v>12</v>
      </c>
      <c r="B42" s="56" t="s">
        <v>64</v>
      </c>
      <c r="C42" s="143">
        <v>2683940</v>
      </c>
      <c r="D42" s="144"/>
      <c r="E42" s="144"/>
      <c r="F42" s="89"/>
      <c r="G42" s="10">
        <v>3211220</v>
      </c>
      <c r="H42" s="141">
        <f t="shared" si="9"/>
        <v>0.19645744688778438</v>
      </c>
      <c r="I42" s="145">
        <f t="shared" si="10"/>
        <v>527280</v>
      </c>
      <c r="M42" s="77"/>
      <c r="N42" s="77">
        <f>M42-G42</f>
        <v>-3211220</v>
      </c>
      <c r="P42" s="77">
        <f>7939712*2</f>
        <v>15879424</v>
      </c>
      <c r="Q42" s="77">
        <v>24194260</v>
      </c>
      <c r="R42" s="77">
        <f t="shared" ref="R42" si="11">Q42-P42</f>
        <v>8314836</v>
      </c>
      <c r="T42" s="144">
        <v>8944142</v>
      </c>
      <c r="U42" s="144">
        <v>1779012</v>
      </c>
      <c r="X42" s="146"/>
    </row>
    <row r="43" spans="1:24" x14ac:dyDescent="0.2">
      <c r="A43" s="48">
        <v>13</v>
      </c>
      <c r="B43" s="56" t="s">
        <v>745</v>
      </c>
      <c r="C43" s="143">
        <v>0</v>
      </c>
      <c r="D43" s="144"/>
      <c r="E43" s="144"/>
      <c r="F43" s="89"/>
      <c r="G43" s="10">
        <v>902160</v>
      </c>
      <c r="H43" s="141"/>
      <c r="I43" s="145">
        <f t="shared" si="10"/>
        <v>902160</v>
      </c>
      <c r="M43" s="77"/>
      <c r="N43" s="77"/>
      <c r="P43" s="77"/>
      <c r="Q43" s="77"/>
      <c r="R43" s="77"/>
      <c r="T43" s="144"/>
      <c r="U43" s="144"/>
      <c r="X43" s="146"/>
    </row>
    <row r="44" spans="1:24" x14ac:dyDescent="0.2">
      <c r="B44" s="56"/>
      <c r="C44" s="143"/>
      <c r="D44" s="144"/>
      <c r="E44" s="144"/>
      <c r="F44" s="144"/>
      <c r="G44" s="11"/>
      <c r="H44" s="141"/>
      <c r="I44" s="145"/>
      <c r="R44" s="147"/>
    </row>
    <row r="45" spans="1:24" x14ac:dyDescent="0.2">
      <c r="B45" s="7" t="s">
        <v>0</v>
      </c>
      <c r="C45" s="173">
        <f t="shared" ref="C45:F45" si="12">SUM(C31:C44)</f>
        <v>278663452</v>
      </c>
      <c r="D45" s="174">
        <f t="shared" si="12"/>
        <v>0</v>
      </c>
      <c r="E45" s="174">
        <f t="shared" si="12"/>
        <v>0</v>
      </c>
      <c r="F45" s="174">
        <f t="shared" si="12"/>
        <v>0</v>
      </c>
      <c r="G45" s="17">
        <f>SUM(G31:G44)</f>
        <v>306195864</v>
      </c>
      <c r="H45" s="93">
        <f t="shared" ref="H45" si="13">(G45-C45)/C45</f>
        <v>9.8801661295719545E-2</v>
      </c>
      <c r="I45" s="150">
        <f t="shared" ref="I45:I46" si="14">G45-C45</f>
        <v>27532412</v>
      </c>
      <c r="K45" s="151"/>
      <c r="N45" s="48">
        <v>378162084</v>
      </c>
      <c r="R45" s="149">
        <f t="shared" ref="R45" si="15">SUM(R31:R44)</f>
        <v>8314836</v>
      </c>
    </row>
    <row r="46" spans="1:24" x14ac:dyDescent="0.2">
      <c r="B46" s="129" t="s">
        <v>20</v>
      </c>
      <c r="C46" s="175">
        <f>C45/C$81</f>
        <v>0.17174842169926083</v>
      </c>
      <c r="D46" s="153"/>
      <c r="G46" s="16">
        <f>G45/G$81</f>
        <v>0.18036917370202046</v>
      </c>
      <c r="H46" s="154"/>
      <c r="I46" s="156">
        <f t="shared" si="14"/>
        <v>8.6207520027596352E-3</v>
      </c>
    </row>
    <row r="47" spans="1:24" x14ac:dyDescent="0.2">
      <c r="B47" s="20" t="s">
        <v>27</v>
      </c>
      <c r="C47" s="176" t="s">
        <v>71</v>
      </c>
      <c r="D47" s="177"/>
      <c r="E47" s="155">
        <f>E45/C45</f>
        <v>0</v>
      </c>
      <c r="F47" s="155">
        <f>F45/C45</f>
        <v>0</v>
      </c>
      <c r="G47" s="49" t="s">
        <v>75</v>
      </c>
      <c r="H47" s="154"/>
      <c r="I47" s="156"/>
      <c r="K47" s="134"/>
    </row>
    <row r="48" spans="1:24" x14ac:dyDescent="0.2">
      <c r="B48" s="45" t="s">
        <v>29</v>
      </c>
      <c r="C48" s="178">
        <v>22699326</v>
      </c>
      <c r="D48" s="83"/>
      <c r="E48" s="161"/>
      <c r="F48" s="71"/>
      <c r="G48" s="179">
        <v>24942057</v>
      </c>
      <c r="H48" s="94">
        <f>(G48-C48)/C48</f>
        <v>9.8801656049170794E-2</v>
      </c>
      <c r="I48" s="145">
        <f>G48-C48</f>
        <v>2242731</v>
      </c>
    </row>
    <row r="49" spans="1:26" x14ac:dyDescent="0.2">
      <c r="B49" s="45" t="s">
        <v>76</v>
      </c>
      <c r="C49" s="180">
        <v>6.13814379369978</v>
      </c>
      <c r="D49" s="181"/>
      <c r="E49" s="182"/>
      <c r="F49" s="182"/>
      <c r="G49" s="183">
        <v>6.1381437797919718</v>
      </c>
      <c r="H49" s="184">
        <f>(G49-C49)/C49</f>
        <v>-2.2658003308223836E-9</v>
      </c>
      <c r="I49" s="185">
        <f>G49-C49</f>
        <v>-1.3907808238400321E-8</v>
      </c>
      <c r="K49" s="186">
        <v>8.0954495092317416</v>
      </c>
      <c r="L49" s="159">
        <f>G49/K49</f>
        <v>0.75822148884904628</v>
      </c>
      <c r="X49" s="187"/>
    </row>
    <row r="50" spans="1:26" ht="13.5" thickBot="1" x14ac:dyDescent="0.25">
      <c r="B50" s="101"/>
      <c r="C50" s="188"/>
      <c r="D50" s="160"/>
      <c r="E50" s="160"/>
      <c r="F50" s="189"/>
      <c r="G50" s="190"/>
      <c r="H50" s="191"/>
      <c r="I50" s="185"/>
      <c r="K50" s="192">
        <v>7.7295660781117297</v>
      </c>
      <c r="L50" s="159">
        <f>G50/K50</f>
        <v>0</v>
      </c>
      <c r="X50" s="187"/>
    </row>
    <row r="51" spans="1:26" hidden="1" x14ac:dyDescent="0.2">
      <c r="B51" s="12" t="s">
        <v>68</v>
      </c>
      <c r="C51" s="162">
        <f>SUM(C31:C40)</f>
        <v>273180322</v>
      </c>
      <c r="D51" s="163"/>
      <c r="E51" s="163"/>
      <c r="F51" s="163"/>
      <c r="G51" s="193">
        <f>SUM(G31:G40)</f>
        <v>297222118</v>
      </c>
      <c r="H51" s="164">
        <f t="shared" ref="H51:H53" si="16">(G51-C51)/C51</f>
        <v>8.800705637941228E-2</v>
      </c>
      <c r="I51" s="165">
        <f t="shared" ref="I51:I53" si="17">G51-C51</f>
        <v>24041796</v>
      </c>
    </row>
    <row r="52" spans="1:26" hidden="1" x14ac:dyDescent="0.2">
      <c r="B52" s="12" t="s">
        <v>66</v>
      </c>
      <c r="C52" s="77">
        <f>SUM(C41:C42)</f>
        <v>5483130</v>
      </c>
      <c r="D52" s="163"/>
      <c r="E52" s="163"/>
      <c r="F52" s="163"/>
      <c r="G52" s="77">
        <f>SUM(G41:G42)</f>
        <v>8071586</v>
      </c>
      <c r="H52" s="166">
        <f t="shared" si="16"/>
        <v>0.47207635055160102</v>
      </c>
      <c r="I52" s="167">
        <f t="shared" si="17"/>
        <v>2588456</v>
      </c>
    </row>
    <row r="53" spans="1:26" ht="13.5" hidden="1" thickBot="1" x14ac:dyDescent="0.25">
      <c r="B53" s="69" t="s">
        <v>67</v>
      </c>
      <c r="C53" s="168">
        <f>SUM(C51:C52)</f>
        <v>278663452</v>
      </c>
      <c r="D53" s="169"/>
      <c r="E53" s="169"/>
      <c r="F53" s="169"/>
      <c r="G53" s="85">
        <f>SUM(G51:G52)</f>
        <v>305293704</v>
      </c>
      <c r="H53" s="170">
        <f t="shared" si="16"/>
        <v>9.556420768088382E-2</v>
      </c>
      <c r="I53" s="171">
        <f t="shared" si="17"/>
        <v>26630252</v>
      </c>
    </row>
    <row r="54" spans="1:26" s="163" customFormat="1" hidden="1" x14ac:dyDescent="0.2">
      <c r="B54" s="87"/>
      <c r="C54" s="194"/>
      <c r="D54" s="182"/>
      <c r="E54" s="182"/>
      <c r="F54" s="86"/>
      <c r="G54" s="195"/>
      <c r="H54" s="196"/>
      <c r="I54" s="197"/>
      <c r="K54" s="195"/>
      <c r="L54" s="198"/>
      <c r="Z54" s="48"/>
    </row>
    <row r="55" spans="1:26" s="199" customFormat="1" x14ac:dyDescent="0.2">
      <c r="B55" s="61"/>
      <c r="C55" s="200"/>
      <c r="D55" s="182"/>
      <c r="E55" s="182"/>
      <c r="F55" s="182"/>
      <c r="G55" s="201"/>
      <c r="H55" s="202"/>
      <c r="I55" s="203"/>
      <c r="Z55" s="48"/>
    </row>
    <row r="56" spans="1:26" ht="44.25" customHeight="1" x14ac:dyDescent="0.2">
      <c r="B56" s="44" t="s">
        <v>12</v>
      </c>
      <c r="C56" s="59" t="str">
        <f>$C$6</f>
        <v>Total FY 20-21  Appropriations</v>
      </c>
      <c r="D56" s="59"/>
      <c r="E56" s="59"/>
      <c r="F56" s="59"/>
      <c r="G56" s="84" t="str">
        <f>G$6</f>
        <v>Appropriations Act FY 22-23</v>
      </c>
      <c r="H56" s="5" t="str">
        <f>H$6</f>
        <v>% Change/w FY 20-21</v>
      </c>
      <c r="I56" s="5" t="str">
        <f>I$6</f>
        <v>$ Change</v>
      </c>
    </row>
    <row r="57" spans="1:26" x14ac:dyDescent="0.2">
      <c r="A57" s="48">
        <v>1</v>
      </c>
      <c r="B57" s="56" t="s">
        <v>8</v>
      </c>
      <c r="C57" s="139">
        <v>13898002</v>
      </c>
      <c r="D57" s="140"/>
      <c r="E57" s="140"/>
      <c r="F57" s="140"/>
      <c r="G57" s="9">
        <v>15059338</v>
      </c>
      <c r="H57" s="141">
        <f t="shared" ref="H57:H68" si="18">(G57-C57)/C57</f>
        <v>8.3561363712568185E-2</v>
      </c>
      <c r="I57" s="142">
        <f t="shared" ref="I57:I68" si="19">G57-C57</f>
        <v>1161336</v>
      </c>
    </row>
    <row r="58" spans="1:26" x14ac:dyDescent="0.2">
      <c r="A58" s="48">
        <v>2</v>
      </c>
      <c r="B58" s="56" t="s">
        <v>3</v>
      </c>
      <c r="C58" s="143">
        <v>6345938</v>
      </c>
      <c r="D58" s="144"/>
      <c r="E58" s="144"/>
      <c r="F58" s="144"/>
      <c r="G58" s="10">
        <v>6387428</v>
      </c>
      <c r="H58" s="141">
        <f t="shared" si="18"/>
        <v>6.5380405544460092E-3</v>
      </c>
      <c r="I58" s="145">
        <f t="shared" si="19"/>
        <v>41490</v>
      </c>
    </row>
    <row r="59" spans="1:26" x14ac:dyDescent="0.2">
      <c r="A59" s="48">
        <v>3</v>
      </c>
      <c r="B59" s="56" t="s">
        <v>4</v>
      </c>
      <c r="C59" s="143">
        <v>8485990</v>
      </c>
      <c r="D59" s="144"/>
      <c r="E59" s="144"/>
      <c r="F59" s="144"/>
      <c r="G59" s="10">
        <v>8734138</v>
      </c>
      <c r="H59" s="141">
        <f t="shared" si="18"/>
        <v>2.9242080181569857E-2</v>
      </c>
      <c r="I59" s="145">
        <f t="shared" si="19"/>
        <v>248148</v>
      </c>
    </row>
    <row r="60" spans="1:26" x14ac:dyDescent="0.2">
      <c r="A60" s="48">
        <v>4</v>
      </c>
      <c r="B60" s="56" t="s">
        <v>6</v>
      </c>
      <c r="C60" s="143">
        <v>6917438</v>
      </c>
      <c r="D60" s="144"/>
      <c r="E60" s="144"/>
      <c r="F60" s="144"/>
      <c r="G60" s="10">
        <v>7381928</v>
      </c>
      <c r="H60" s="141">
        <f t="shared" si="18"/>
        <v>6.7147692541660656E-2</v>
      </c>
      <c r="I60" s="145">
        <f t="shared" si="19"/>
        <v>464490</v>
      </c>
    </row>
    <row r="61" spans="1:26" x14ac:dyDescent="0.2">
      <c r="A61" s="48">
        <v>5</v>
      </c>
      <c r="B61" s="56" t="s">
        <v>2</v>
      </c>
      <c r="C61" s="143">
        <v>23059276</v>
      </c>
      <c r="D61" s="144"/>
      <c r="E61" s="144"/>
      <c r="F61" s="144"/>
      <c r="G61" s="10">
        <v>25413576</v>
      </c>
      <c r="H61" s="141">
        <f t="shared" si="18"/>
        <v>0.10209774149023586</v>
      </c>
      <c r="I61" s="145">
        <f t="shared" si="19"/>
        <v>2354300</v>
      </c>
    </row>
    <row r="62" spans="1:26" x14ac:dyDescent="0.2">
      <c r="A62" s="48">
        <v>6</v>
      </c>
      <c r="B62" s="56" t="s">
        <v>5</v>
      </c>
      <c r="C62" s="143">
        <v>3278824</v>
      </c>
      <c r="D62" s="144"/>
      <c r="E62" s="144"/>
      <c r="F62" s="144"/>
      <c r="G62" s="10">
        <v>3321390</v>
      </c>
      <c r="H62" s="141">
        <f t="shared" si="18"/>
        <v>1.2982093579893279E-2</v>
      </c>
      <c r="I62" s="145">
        <f t="shared" si="19"/>
        <v>42566</v>
      </c>
    </row>
    <row r="63" spans="1:26" x14ac:dyDescent="0.2">
      <c r="A63" s="48">
        <v>7</v>
      </c>
      <c r="B63" s="56" t="s">
        <v>7</v>
      </c>
      <c r="C63" s="143">
        <v>5279816</v>
      </c>
      <c r="D63" s="144"/>
      <c r="E63" s="144"/>
      <c r="F63" s="144"/>
      <c r="G63" s="10">
        <v>9613134</v>
      </c>
      <c r="H63" s="141">
        <f t="shared" si="18"/>
        <v>0.82073276796009553</v>
      </c>
      <c r="I63" s="145">
        <f t="shared" si="19"/>
        <v>4333318</v>
      </c>
    </row>
    <row r="64" spans="1:26" x14ac:dyDescent="0.2">
      <c r="A64" s="48">
        <v>8</v>
      </c>
      <c r="B64" s="56" t="s">
        <v>24</v>
      </c>
      <c r="C64" s="143">
        <v>3896270</v>
      </c>
      <c r="D64" s="144"/>
      <c r="E64" s="144"/>
      <c r="F64" s="144"/>
      <c r="G64" s="10">
        <v>3879416</v>
      </c>
      <c r="H64" s="141">
        <f t="shared" si="18"/>
        <v>-4.325675582031019E-3</v>
      </c>
      <c r="I64" s="145">
        <f t="shared" si="19"/>
        <v>-16854</v>
      </c>
    </row>
    <row r="65" spans="1:26" x14ac:dyDescent="0.2">
      <c r="A65" s="48">
        <v>9</v>
      </c>
      <c r="B65" s="56" t="s">
        <v>1</v>
      </c>
      <c r="C65" s="143">
        <v>3715134</v>
      </c>
      <c r="D65" s="144"/>
      <c r="E65" s="144"/>
      <c r="F65" s="144"/>
      <c r="G65" s="10">
        <v>3854238</v>
      </c>
      <c r="H65" s="141">
        <f t="shared" si="18"/>
        <v>3.744252562626274E-2</v>
      </c>
      <c r="I65" s="145">
        <f t="shared" si="19"/>
        <v>139104</v>
      </c>
    </row>
    <row r="66" spans="1:26" x14ac:dyDescent="0.2">
      <c r="A66" s="48">
        <v>10</v>
      </c>
      <c r="B66" s="56" t="s">
        <v>53</v>
      </c>
      <c r="C66" s="143">
        <v>3120514</v>
      </c>
      <c r="D66" s="144"/>
      <c r="E66" s="144"/>
      <c r="F66" s="144"/>
      <c r="G66" s="10">
        <v>3064190</v>
      </c>
      <c r="H66" s="141">
        <f t="shared" si="18"/>
        <v>-1.8049590548223787E-2</v>
      </c>
      <c r="I66" s="145">
        <f t="shared" si="19"/>
        <v>-56324</v>
      </c>
    </row>
    <row r="67" spans="1:26" x14ac:dyDescent="0.2">
      <c r="A67" s="48">
        <v>11</v>
      </c>
      <c r="B67" s="56" t="s">
        <v>65</v>
      </c>
      <c r="C67" s="143">
        <v>3467406</v>
      </c>
      <c r="D67" s="144"/>
      <c r="E67" s="144"/>
      <c r="F67" s="89"/>
      <c r="G67" s="10">
        <v>3658314</v>
      </c>
      <c r="H67" s="141">
        <f t="shared" si="18"/>
        <v>5.5057873234342906E-2</v>
      </c>
      <c r="I67" s="145">
        <f t="shared" si="19"/>
        <v>190908</v>
      </c>
      <c r="M67" s="77"/>
      <c r="N67" s="77"/>
      <c r="P67" s="77"/>
      <c r="Q67" s="77"/>
      <c r="R67" s="77"/>
      <c r="T67" s="144"/>
      <c r="U67" s="144"/>
      <c r="X67" s="146"/>
    </row>
    <row r="68" spans="1:26" x14ac:dyDescent="0.2">
      <c r="A68" s="48">
        <v>12</v>
      </c>
      <c r="B68" s="56" t="s">
        <v>64</v>
      </c>
      <c r="C68" s="143">
        <v>3080826</v>
      </c>
      <c r="D68" s="144"/>
      <c r="E68" s="144"/>
      <c r="F68" s="89"/>
      <c r="G68" s="10">
        <v>3352678</v>
      </c>
      <c r="H68" s="141">
        <f t="shared" si="18"/>
        <v>8.8239972007507078E-2</v>
      </c>
      <c r="I68" s="145">
        <f t="shared" si="19"/>
        <v>271852</v>
      </c>
      <c r="M68" s="77"/>
      <c r="N68" s="77">
        <f>M68-G68</f>
        <v>-3352678</v>
      </c>
      <c r="P68" s="77">
        <f>7939712*2</f>
        <v>15879424</v>
      </c>
      <c r="Q68" s="77">
        <v>24194260</v>
      </c>
      <c r="R68" s="77">
        <f t="shared" ref="R68" si="20">Q68-P68</f>
        <v>8314836</v>
      </c>
      <c r="T68" s="144">
        <v>8944142</v>
      </c>
      <c r="U68" s="144">
        <v>1779012</v>
      </c>
      <c r="X68" s="146"/>
    </row>
    <row r="69" spans="1:26" x14ac:dyDescent="0.2">
      <c r="A69" s="48">
        <v>13</v>
      </c>
      <c r="B69" s="56" t="s">
        <v>745</v>
      </c>
      <c r="C69" s="143">
        <v>0</v>
      </c>
      <c r="D69" s="144"/>
      <c r="E69" s="144"/>
      <c r="F69" s="89"/>
      <c r="G69" s="10">
        <v>2830204</v>
      </c>
      <c r="H69" s="141"/>
      <c r="I69" s="145"/>
      <c r="M69" s="77"/>
      <c r="N69" s="77"/>
      <c r="P69" s="77"/>
      <c r="Q69" s="77"/>
      <c r="R69" s="77"/>
      <c r="T69" s="144"/>
      <c r="U69" s="144"/>
      <c r="X69" s="146"/>
    </row>
    <row r="70" spans="1:26" x14ac:dyDescent="0.2">
      <c r="B70" s="56"/>
      <c r="C70" s="143"/>
      <c r="D70" s="144"/>
      <c r="E70" s="144"/>
      <c r="F70" s="144"/>
      <c r="G70" s="11"/>
      <c r="H70" s="141"/>
      <c r="I70" s="145"/>
    </row>
    <row r="71" spans="1:26" x14ac:dyDescent="0.2">
      <c r="B71" s="7" t="s">
        <v>0</v>
      </c>
      <c r="C71" s="148">
        <f>SUM(C57:C70)</f>
        <v>84545434</v>
      </c>
      <c r="D71" s="174">
        <f t="shared" ref="D71:F71" si="21">SUM(D57:D70)</f>
        <v>0</v>
      </c>
      <c r="E71" s="174">
        <f t="shared" si="21"/>
        <v>0</v>
      </c>
      <c r="F71" s="174">
        <f t="shared" si="21"/>
        <v>0</v>
      </c>
      <c r="G71" s="17">
        <f>SUM(G57:G70)</f>
        <v>96549972</v>
      </c>
      <c r="H71" s="93">
        <f t="shared" ref="H71" si="22">(G71-C71)/C71</f>
        <v>0.14198919364468576</v>
      </c>
      <c r="I71" s="150">
        <f t="shared" ref="I71:I72" si="23">G71-C71</f>
        <v>12004538</v>
      </c>
      <c r="N71" s="48">
        <v>111114816</v>
      </c>
    </row>
    <row r="72" spans="1:26" x14ac:dyDescent="0.2">
      <c r="B72" s="129" t="s">
        <v>20</v>
      </c>
      <c r="C72" s="204">
        <f>C71/C$81</f>
        <v>5.2107819476014471E-2</v>
      </c>
      <c r="D72" s="205"/>
      <c r="G72" s="25">
        <f>G71/G$81</f>
        <v>5.6874179954936335E-2</v>
      </c>
      <c r="H72" s="206"/>
      <c r="I72" s="156">
        <f t="shared" si="23"/>
        <v>4.7663604789218647E-3</v>
      </c>
    </row>
    <row r="73" spans="1:26" x14ac:dyDescent="0.2">
      <c r="B73" s="20" t="s">
        <v>27</v>
      </c>
      <c r="C73" s="176" t="s">
        <v>72</v>
      </c>
      <c r="D73" s="181"/>
      <c r="E73" s="155">
        <f>E71/C71</f>
        <v>0</v>
      </c>
      <c r="F73" s="155">
        <f>F71/C71</f>
        <v>0</v>
      </c>
      <c r="G73" s="28" t="s">
        <v>77</v>
      </c>
      <c r="H73" s="207"/>
      <c r="I73" s="208"/>
    </row>
    <row r="74" spans="1:26" x14ac:dyDescent="0.2">
      <c r="B74" s="45" t="s">
        <v>28</v>
      </c>
      <c r="C74" s="209">
        <v>2147409368</v>
      </c>
      <c r="D74" s="181"/>
      <c r="E74" s="161"/>
      <c r="F74" s="71"/>
      <c r="G74" s="30">
        <v>2562853921</v>
      </c>
      <c r="H74" s="94">
        <f>(G74-C74)/C74</f>
        <v>0.19346313711340762</v>
      </c>
      <c r="I74" s="142">
        <f>G74-C74</f>
        <v>415444553</v>
      </c>
      <c r="X74" s="210">
        <f>G74/1000000</f>
        <v>2562.8539209999999</v>
      </c>
    </row>
    <row r="75" spans="1:26" x14ac:dyDescent="0.2">
      <c r="B75" s="211" t="s">
        <v>32</v>
      </c>
      <c r="C75" s="212">
        <v>1.1792216881117751E-2</v>
      </c>
      <c r="D75" s="181"/>
      <c r="E75" s="160"/>
      <c r="F75" s="213"/>
      <c r="G75" s="29">
        <v>1.167155243470569E-2</v>
      </c>
      <c r="H75" s="158">
        <f>(G75-C75)/C75</f>
        <v>-1.0232549793523123E-2</v>
      </c>
      <c r="I75" s="214">
        <f>G75-C75</f>
        <v>-1.2066444641206132E-4</v>
      </c>
      <c r="K75" s="29">
        <v>1.6807953912721059E-2</v>
      </c>
      <c r="L75" s="159">
        <f>G75/K75</f>
        <v>0.69440649916776032</v>
      </c>
    </row>
    <row r="76" spans="1:26" hidden="1" x14ac:dyDescent="0.2">
      <c r="B76" s="12" t="s">
        <v>68</v>
      </c>
      <c r="C76" s="193">
        <f>SUM(C57:C66)</f>
        <v>77997202</v>
      </c>
      <c r="D76" s="215"/>
      <c r="E76" s="163"/>
      <c r="F76" s="215"/>
      <c r="G76" s="193"/>
      <c r="H76" s="164">
        <f t="shared" ref="H76:H78" si="24">(G76-C76)/C76</f>
        <v>-1</v>
      </c>
      <c r="I76" s="165">
        <f t="shared" ref="I76:I78" si="25">G76-C76</f>
        <v>-77997202</v>
      </c>
    </row>
    <row r="77" spans="1:26" hidden="1" x14ac:dyDescent="0.2">
      <c r="B77" s="12" t="s">
        <v>66</v>
      </c>
      <c r="C77" s="77">
        <f>SUM(C67:C68)</f>
        <v>6548232</v>
      </c>
      <c r="D77" s="163"/>
      <c r="E77" s="163"/>
      <c r="F77" s="163"/>
      <c r="G77" s="77"/>
      <c r="H77" s="166">
        <f t="shared" si="24"/>
        <v>-1</v>
      </c>
      <c r="I77" s="167">
        <f t="shared" si="25"/>
        <v>-6548232</v>
      </c>
    </row>
    <row r="78" spans="1:26" ht="13.5" hidden="1" thickBot="1" x14ac:dyDescent="0.25">
      <c r="B78" s="69" t="s">
        <v>67</v>
      </c>
      <c r="C78" s="168">
        <f>SUM(C76:C77)</f>
        <v>84545434</v>
      </c>
      <c r="D78" s="169"/>
      <c r="E78" s="169"/>
      <c r="F78" s="169"/>
      <c r="G78" s="85"/>
      <c r="H78" s="170">
        <f t="shared" si="24"/>
        <v>-1</v>
      </c>
      <c r="I78" s="171">
        <f t="shared" si="25"/>
        <v>-84545434</v>
      </c>
    </row>
    <row r="79" spans="1:26" hidden="1" x14ac:dyDescent="0.2">
      <c r="C79" s="216"/>
      <c r="D79" s="182"/>
      <c r="E79" s="182"/>
      <c r="F79" s="86"/>
      <c r="G79" s="50"/>
      <c r="H79" s="217"/>
      <c r="I79" s="214"/>
      <c r="K79" s="88"/>
      <c r="L79" s="159"/>
    </row>
    <row r="80" spans="1:26" s="199" customFormat="1" x14ac:dyDescent="0.2">
      <c r="C80" s="218"/>
      <c r="D80" s="218"/>
      <c r="E80" s="218"/>
      <c r="F80" s="218"/>
      <c r="G80" s="62"/>
      <c r="H80" s="219"/>
      <c r="I80" s="144"/>
      <c r="Z80" s="48"/>
    </row>
    <row r="81" spans="1:9" x14ac:dyDescent="0.2">
      <c r="B81" s="32" t="s">
        <v>34</v>
      </c>
      <c r="C81" s="220">
        <f>C71+C45+C21</f>
        <v>1622509536</v>
      </c>
      <c r="D81" s="220"/>
      <c r="E81" s="220"/>
      <c r="F81" s="220"/>
      <c r="G81" s="9">
        <f>G71+G45+G21</f>
        <v>1697606402</v>
      </c>
      <c r="H81" s="217">
        <f>(G81-C81)/C81</f>
        <v>4.6284391144558429E-2</v>
      </c>
      <c r="I81" s="221">
        <f>G81-C81</f>
        <v>75096866</v>
      </c>
    </row>
    <row r="82" spans="1:9" x14ac:dyDescent="0.2">
      <c r="B82" s="33"/>
      <c r="C82" s="222">
        <f>C72+C46+C22</f>
        <v>1</v>
      </c>
      <c r="D82" s="222"/>
      <c r="E82" s="222"/>
      <c r="F82" s="222"/>
      <c r="G82" s="16">
        <f>G72+G46+G22</f>
        <v>1</v>
      </c>
      <c r="H82" s="222"/>
      <c r="I82" s="223">
        <f>G82-C82</f>
        <v>0</v>
      </c>
    </row>
    <row r="83" spans="1:9" ht="13.5" thickBot="1" x14ac:dyDescent="0.25">
      <c r="A83" s="224"/>
      <c r="B83" s="129"/>
      <c r="C83" s="163"/>
      <c r="D83" s="163"/>
      <c r="E83" s="163"/>
      <c r="F83" s="163"/>
      <c r="G83" s="225"/>
      <c r="H83" s="163"/>
      <c r="I83" s="163"/>
    </row>
    <row r="84" spans="1:9" ht="48.75" customHeight="1" x14ac:dyDescent="0.2">
      <c r="B84" s="226" t="s">
        <v>15</v>
      </c>
      <c r="C84" s="59" t="str">
        <f>$C$6</f>
        <v>Total FY 20-21  Appropriations</v>
      </c>
      <c r="D84" s="59">
        <f t="shared" ref="D84" si="26">D6</f>
        <v>0</v>
      </c>
      <c r="E84" s="59" t="s">
        <v>63</v>
      </c>
      <c r="F84" s="59">
        <f>$F$6</f>
        <v>0</v>
      </c>
      <c r="G84" s="5" t="str">
        <f>G$6</f>
        <v>Appropriations Act FY 22-23</v>
      </c>
      <c r="H84" s="43" t="str">
        <f>H$6</f>
        <v>% Change/w FY 20-21</v>
      </c>
      <c r="I84" s="43" t="str">
        <f>I$6</f>
        <v>$ Change</v>
      </c>
    </row>
    <row r="85" spans="1:9" x14ac:dyDescent="0.2">
      <c r="A85" s="48">
        <v>1</v>
      </c>
      <c r="B85" s="57" t="s">
        <v>8</v>
      </c>
      <c r="C85" s="227">
        <f t="shared" ref="C85:G97" si="27">ROUND(SUMIF($A$7:$A$71,$A85,C$7:C$71),0)</f>
        <v>176665956</v>
      </c>
      <c r="D85" s="86">
        <f t="shared" si="27"/>
        <v>0</v>
      </c>
      <c r="E85" s="86">
        <f t="shared" si="27"/>
        <v>0</v>
      </c>
      <c r="F85" s="86">
        <f t="shared" si="27"/>
        <v>0</v>
      </c>
      <c r="G85" s="13">
        <f t="shared" si="27"/>
        <v>182963834</v>
      </c>
      <c r="H85" s="166">
        <f t="shared" ref="H85:H99" si="28">(G85-C85)/C85</f>
        <v>3.5648509438909667E-2</v>
      </c>
      <c r="I85" s="228">
        <f t="shared" ref="I85:I99" si="29">G85-C85</f>
        <v>6297878</v>
      </c>
    </row>
    <row r="86" spans="1:9" x14ac:dyDescent="0.2">
      <c r="A86" s="48">
        <v>2</v>
      </c>
      <c r="B86" s="57" t="s">
        <v>3</v>
      </c>
      <c r="C86" s="229">
        <f t="shared" si="27"/>
        <v>178135692</v>
      </c>
      <c r="D86" s="230">
        <f t="shared" si="27"/>
        <v>0</v>
      </c>
      <c r="E86" s="230">
        <f t="shared" si="27"/>
        <v>0</v>
      </c>
      <c r="F86" s="230">
        <f t="shared" si="27"/>
        <v>0</v>
      </c>
      <c r="G86" s="10">
        <f t="shared" si="27"/>
        <v>182038180</v>
      </c>
      <c r="H86" s="166">
        <f t="shared" si="28"/>
        <v>2.1907389564579792E-2</v>
      </c>
      <c r="I86" s="231">
        <f t="shared" si="29"/>
        <v>3902488</v>
      </c>
    </row>
    <row r="87" spans="1:9" x14ac:dyDescent="0.2">
      <c r="A87" s="48">
        <v>3</v>
      </c>
      <c r="B87" s="57" t="s">
        <v>4</v>
      </c>
      <c r="C87" s="229">
        <f t="shared" si="27"/>
        <v>283604918</v>
      </c>
      <c r="D87" s="230">
        <f t="shared" si="27"/>
        <v>0</v>
      </c>
      <c r="E87" s="230">
        <f t="shared" si="27"/>
        <v>0</v>
      </c>
      <c r="F87" s="230">
        <f t="shared" si="27"/>
        <v>0</v>
      </c>
      <c r="G87" s="10">
        <f t="shared" si="27"/>
        <v>295260910</v>
      </c>
      <c r="H87" s="166">
        <f t="shared" si="28"/>
        <v>4.1099400116890783E-2</v>
      </c>
      <c r="I87" s="231">
        <f t="shared" si="29"/>
        <v>11655992</v>
      </c>
    </row>
    <row r="88" spans="1:9" x14ac:dyDescent="0.2">
      <c r="A88" s="48">
        <v>4</v>
      </c>
      <c r="B88" s="57" t="s">
        <v>6</v>
      </c>
      <c r="C88" s="229">
        <f t="shared" si="27"/>
        <v>212734496</v>
      </c>
      <c r="D88" s="230">
        <f t="shared" si="27"/>
        <v>0</v>
      </c>
      <c r="E88" s="230">
        <f t="shared" si="27"/>
        <v>0</v>
      </c>
      <c r="F88" s="230">
        <f t="shared" si="27"/>
        <v>0</v>
      </c>
      <c r="G88" s="10">
        <f t="shared" si="27"/>
        <v>216074326</v>
      </c>
      <c r="H88" s="166">
        <f t="shared" si="28"/>
        <v>1.5699522469548144E-2</v>
      </c>
      <c r="I88" s="231">
        <f t="shared" si="29"/>
        <v>3339830</v>
      </c>
    </row>
    <row r="89" spans="1:9" x14ac:dyDescent="0.2">
      <c r="A89" s="48">
        <v>5</v>
      </c>
      <c r="B89" s="57" t="s">
        <v>2</v>
      </c>
      <c r="C89" s="229">
        <f t="shared" si="27"/>
        <v>94151172</v>
      </c>
      <c r="D89" s="230">
        <f t="shared" si="27"/>
        <v>0</v>
      </c>
      <c r="E89" s="230">
        <f t="shared" si="27"/>
        <v>0</v>
      </c>
      <c r="F89" s="230">
        <f t="shared" si="27"/>
        <v>0</v>
      </c>
      <c r="G89" s="10">
        <f t="shared" si="27"/>
        <v>101362944</v>
      </c>
      <c r="H89" s="166">
        <f t="shared" si="28"/>
        <v>7.6597793174576739E-2</v>
      </c>
      <c r="I89" s="231">
        <f t="shared" si="29"/>
        <v>7211772</v>
      </c>
    </row>
    <row r="90" spans="1:9" x14ac:dyDescent="0.2">
      <c r="A90" s="48">
        <v>6</v>
      </c>
      <c r="B90" s="57" t="s">
        <v>5</v>
      </c>
      <c r="C90" s="229">
        <f t="shared" si="27"/>
        <v>8522188</v>
      </c>
      <c r="D90" s="230">
        <f t="shared" si="27"/>
        <v>0</v>
      </c>
      <c r="E90" s="230">
        <f t="shared" si="27"/>
        <v>0</v>
      </c>
      <c r="F90" s="230">
        <f t="shared" si="27"/>
        <v>0</v>
      </c>
      <c r="G90" s="10">
        <f t="shared" si="27"/>
        <v>11080722</v>
      </c>
      <c r="H90" s="166">
        <f t="shared" si="28"/>
        <v>0.30022031900727841</v>
      </c>
      <c r="I90" s="231">
        <f t="shared" si="29"/>
        <v>2558534</v>
      </c>
    </row>
    <row r="91" spans="1:9" x14ac:dyDescent="0.2">
      <c r="A91" s="48">
        <v>7</v>
      </c>
      <c r="B91" s="57" t="s">
        <v>7</v>
      </c>
      <c r="C91" s="229">
        <f t="shared" si="27"/>
        <v>204710030</v>
      </c>
      <c r="D91" s="230">
        <f t="shared" si="27"/>
        <v>0</v>
      </c>
      <c r="E91" s="230">
        <f t="shared" si="27"/>
        <v>0</v>
      </c>
      <c r="F91" s="230">
        <f t="shared" si="27"/>
        <v>0</v>
      </c>
      <c r="G91" s="10">
        <f t="shared" si="27"/>
        <v>216273174</v>
      </c>
      <c r="H91" s="166">
        <f t="shared" si="28"/>
        <v>5.6485478508307582E-2</v>
      </c>
      <c r="I91" s="231">
        <f t="shared" si="29"/>
        <v>11563144</v>
      </c>
    </row>
    <row r="92" spans="1:9" x14ac:dyDescent="0.2">
      <c r="A92" s="48">
        <v>8</v>
      </c>
      <c r="B92" s="57" t="s">
        <v>24</v>
      </c>
      <c r="C92" s="229">
        <f t="shared" si="27"/>
        <v>145957566</v>
      </c>
      <c r="D92" s="230">
        <f t="shared" si="27"/>
        <v>0</v>
      </c>
      <c r="E92" s="230">
        <f t="shared" si="27"/>
        <v>0</v>
      </c>
      <c r="F92" s="230">
        <f t="shared" si="27"/>
        <v>0</v>
      </c>
      <c r="G92" s="10">
        <f t="shared" si="27"/>
        <v>148532716</v>
      </c>
      <c r="H92" s="166">
        <f t="shared" si="28"/>
        <v>1.7643141568968065E-2</v>
      </c>
      <c r="I92" s="231">
        <f t="shared" si="29"/>
        <v>2575150</v>
      </c>
    </row>
    <row r="93" spans="1:9" x14ac:dyDescent="0.2">
      <c r="A93" s="48">
        <v>9</v>
      </c>
      <c r="B93" s="57" t="s">
        <v>1</v>
      </c>
      <c r="C93" s="229">
        <f t="shared" si="27"/>
        <v>223510386</v>
      </c>
      <c r="D93" s="230">
        <f t="shared" si="27"/>
        <v>0</v>
      </c>
      <c r="E93" s="230">
        <f t="shared" si="27"/>
        <v>0</v>
      </c>
      <c r="F93" s="230">
        <f t="shared" si="27"/>
        <v>0</v>
      </c>
      <c r="G93" s="10">
        <f t="shared" si="27"/>
        <v>227453688</v>
      </c>
      <c r="H93" s="166">
        <f t="shared" si="28"/>
        <v>1.7642589548389039E-2</v>
      </c>
      <c r="I93" s="231">
        <f t="shared" si="29"/>
        <v>3943302</v>
      </c>
    </row>
    <row r="94" spans="1:9" x14ac:dyDescent="0.2">
      <c r="A94" s="48">
        <v>10</v>
      </c>
      <c r="B94" s="57" t="s">
        <v>53</v>
      </c>
      <c r="C94" s="229">
        <f t="shared" si="27"/>
        <v>54772320</v>
      </c>
      <c r="D94" s="230">
        <f t="shared" si="27"/>
        <v>0</v>
      </c>
      <c r="E94" s="230">
        <f t="shared" si="27"/>
        <v>0</v>
      </c>
      <c r="F94" s="230">
        <f t="shared" si="27"/>
        <v>0</v>
      </c>
      <c r="G94" s="10">
        <f t="shared" si="27"/>
        <v>57049694</v>
      </c>
      <c r="H94" s="166">
        <f t="shared" si="28"/>
        <v>4.1578921615881892E-2</v>
      </c>
      <c r="I94" s="231">
        <f t="shared" si="29"/>
        <v>2277374</v>
      </c>
    </row>
    <row r="95" spans="1:9" x14ac:dyDescent="0.2">
      <c r="A95" s="48">
        <v>11</v>
      </c>
      <c r="B95" s="57" t="s">
        <v>65</v>
      </c>
      <c r="C95" s="229">
        <f t="shared" si="27"/>
        <v>20443444</v>
      </c>
      <c r="D95" s="230">
        <f t="shared" si="27"/>
        <v>0</v>
      </c>
      <c r="E95" s="230">
        <f t="shared" si="27"/>
        <v>0</v>
      </c>
      <c r="F95" s="230">
        <f t="shared" si="27"/>
        <v>0</v>
      </c>
      <c r="G95" s="10">
        <f t="shared" si="27"/>
        <v>26262606</v>
      </c>
      <c r="H95" s="141">
        <f t="shared" si="28"/>
        <v>0.28464685304491749</v>
      </c>
      <c r="I95" s="231">
        <f t="shared" si="29"/>
        <v>5819162</v>
      </c>
    </row>
    <row r="96" spans="1:9" x14ac:dyDescent="0.2">
      <c r="A96" s="48">
        <v>12</v>
      </c>
      <c r="B96" s="57" t="s">
        <v>64</v>
      </c>
      <c r="C96" s="229">
        <f t="shared" si="27"/>
        <v>19301368</v>
      </c>
      <c r="D96" s="230">
        <f t="shared" si="27"/>
        <v>0</v>
      </c>
      <c r="E96" s="230">
        <f t="shared" si="27"/>
        <v>0</v>
      </c>
      <c r="F96" s="230">
        <f t="shared" si="27"/>
        <v>0</v>
      </c>
      <c r="G96" s="10">
        <f t="shared" si="27"/>
        <v>26777338</v>
      </c>
      <c r="H96" s="141">
        <f t="shared" si="28"/>
        <v>0.38732850438373073</v>
      </c>
      <c r="I96" s="231">
        <f t="shared" si="29"/>
        <v>7475970</v>
      </c>
    </row>
    <row r="97" spans="1:24" x14ac:dyDescent="0.2">
      <c r="A97" s="48">
        <v>13</v>
      </c>
      <c r="B97" s="57" t="s">
        <v>745</v>
      </c>
      <c r="C97" s="229">
        <f t="shared" si="27"/>
        <v>0</v>
      </c>
      <c r="D97" s="230">
        <f t="shared" si="27"/>
        <v>0</v>
      </c>
      <c r="E97" s="230">
        <f t="shared" si="27"/>
        <v>0</v>
      </c>
      <c r="F97" s="230">
        <f t="shared" si="27"/>
        <v>0</v>
      </c>
      <c r="G97" s="10">
        <f t="shared" si="27"/>
        <v>6476270</v>
      </c>
      <c r="H97" s="232" t="str">
        <f>IFERROR((G97-C97)/C97,"100.0%")</f>
        <v>100.0%</v>
      </c>
      <c r="I97" s="231">
        <f t="shared" si="29"/>
        <v>6476270</v>
      </c>
    </row>
    <row r="98" spans="1:24" x14ac:dyDescent="0.2">
      <c r="B98" s="57"/>
      <c r="C98" s="229"/>
      <c r="D98" s="230"/>
      <c r="E98" s="230"/>
      <c r="F98" s="230"/>
      <c r="G98" s="10"/>
      <c r="H98" s="141"/>
      <c r="I98" s="231"/>
    </row>
    <row r="99" spans="1:24" ht="13.5" thickBot="1" x14ac:dyDescent="0.25">
      <c r="B99" s="38" t="s">
        <v>13</v>
      </c>
      <c r="C99" s="233">
        <f t="shared" ref="C99:F99" si="30">SUM(C85:C98)</f>
        <v>1622509536</v>
      </c>
      <c r="D99" s="234">
        <f t="shared" si="30"/>
        <v>0</v>
      </c>
      <c r="E99" s="234">
        <f t="shared" si="30"/>
        <v>0</v>
      </c>
      <c r="F99" s="234">
        <f t="shared" si="30"/>
        <v>0</v>
      </c>
      <c r="G99" s="39">
        <f>SUM(G85:G98)</f>
        <v>1697606402</v>
      </c>
      <c r="H99" s="235">
        <f t="shared" si="28"/>
        <v>4.6284391144558429E-2</v>
      </c>
      <c r="I99" s="150">
        <f t="shared" si="29"/>
        <v>75096866</v>
      </c>
      <c r="M99" s="48">
        <v>0.30559680928100202</v>
      </c>
    </row>
    <row r="100" spans="1:24" ht="13.5" thickBot="1" x14ac:dyDescent="0.25">
      <c r="A100" s="224"/>
      <c r="B100" s="52"/>
      <c r="C100" s="236"/>
      <c r="D100" s="236"/>
      <c r="E100" s="236"/>
      <c r="F100" s="236"/>
      <c r="G100" s="67"/>
      <c r="H100" s="237"/>
      <c r="I100" s="238"/>
    </row>
    <row r="101" spans="1:24" hidden="1" x14ac:dyDescent="0.2">
      <c r="B101" s="46" t="s">
        <v>68</v>
      </c>
      <c r="C101" s="193">
        <f>SUM(C85:C94)</f>
        <v>1582764724</v>
      </c>
      <c r="D101" s="215"/>
      <c r="E101" s="215"/>
      <c r="F101" s="215"/>
      <c r="G101" s="193">
        <f>SUM(G85:G94)</f>
        <v>1638090188</v>
      </c>
      <c r="H101" s="164">
        <f t="shared" ref="H101" si="31">(G101-C101)/C101</f>
        <v>3.4954951396806593E-2</v>
      </c>
      <c r="I101" s="165">
        <f t="shared" ref="I101:I103" si="32">G101-C101</f>
        <v>55325464</v>
      </c>
    </row>
    <row r="102" spans="1:24" hidden="1" x14ac:dyDescent="0.2">
      <c r="B102" s="12" t="s">
        <v>66</v>
      </c>
      <c r="C102" s="77">
        <f>SUM(C95:C98)</f>
        <v>39744812</v>
      </c>
      <c r="D102" s="163"/>
      <c r="E102" s="163"/>
      <c r="F102" s="163"/>
      <c r="G102" s="77">
        <f>SUM(G95:G98)</f>
        <v>59516214</v>
      </c>
      <c r="H102" s="166"/>
      <c r="I102" s="167">
        <f t="shared" si="32"/>
        <v>19771402</v>
      </c>
    </row>
    <row r="103" spans="1:24" ht="13.5" hidden="1" thickBot="1" x14ac:dyDescent="0.25">
      <c r="B103" s="69" t="s">
        <v>67</v>
      </c>
      <c r="C103" s="168">
        <f>SUM(C101:C102)</f>
        <v>1622509536</v>
      </c>
      <c r="D103" s="169"/>
      <c r="E103" s="169"/>
      <c r="F103" s="169"/>
      <c r="G103" s="85">
        <f>SUM(G101:G102)</f>
        <v>1697606402</v>
      </c>
      <c r="H103" s="170">
        <f t="shared" ref="H103" si="33">(G103-C103)/C103</f>
        <v>4.6284391144558429E-2</v>
      </c>
      <c r="I103" s="171">
        <f t="shared" si="32"/>
        <v>75096866</v>
      </c>
    </row>
    <row r="104" spans="1:24" hidden="1" x14ac:dyDescent="0.2">
      <c r="A104" s="163"/>
      <c r="B104" s="129"/>
      <c r="C104" s="163"/>
      <c r="D104" s="163"/>
      <c r="E104" s="163"/>
      <c r="F104" s="163"/>
      <c r="G104" s="6"/>
      <c r="H104" s="239"/>
      <c r="I104" s="239"/>
    </row>
    <row r="106" spans="1:24" ht="53.25" customHeight="1" x14ac:dyDescent="0.2">
      <c r="B106" s="44" t="s">
        <v>21</v>
      </c>
      <c r="C106" s="59" t="str">
        <f>$C$6</f>
        <v>Total FY 20-21  Appropriations</v>
      </c>
      <c r="D106" s="59"/>
      <c r="E106" s="59"/>
      <c r="F106" s="59"/>
      <c r="G106" s="5" t="str">
        <f>G$6</f>
        <v>Appropriations Act FY 22-23</v>
      </c>
      <c r="H106" s="5" t="str">
        <f>H$6</f>
        <v>% Change/w FY 20-21</v>
      </c>
      <c r="I106" s="5" t="str">
        <f>I$6</f>
        <v>$ Change</v>
      </c>
    </row>
    <row r="107" spans="1:24" ht="14.25" customHeight="1" x14ac:dyDescent="0.2">
      <c r="A107" s="48">
        <v>1</v>
      </c>
      <c r="B107" s="240" t="s">
        <v>8</v>
      </c>
      <c r="C107" s="36">
        <v>114849890</v>
      </c>
      <c r="D107" s="72"/>
      <c r="E107" s="107"/>
      <c r="F107" s="105"/>
      <c r="G107" s="10">
        <v>114849890</v>
      </c>
      <c r="H107" s="141">
        <f t="shared" ref="H107" si="34">(G107-C107)/C107</f>
        <v>0</v>
      </c>
      <c r="I107" s="241">
        <f>G107-C107</f>
        <v>0</v>
      </c>
      <c r="J107" s="163"/>
      <c r="M107" s="60">
        <v>299067959</v>
      </c>
      <c r="X107" s="242"/>
    </row>
    <row r="108" spans="1:24" ht="14.25" customHeight="1" x14ac:dyDescent="0.2">
      <c r="A108" s="48">
        <v>2</v>
      </c>
      <c r="B108" s="243" t="s">
        <v>3</v>
      </c>
      <c r="C108" s="37">
        <v>306081806</v>
      </c>
      <c r="D108" s="72"/>
      <c r="E108" s="107"/>
      <c r="F108" s="105"/>
      <c r="G108" s="10">
        <v>306758682</v>
      </c>
      <c r="H108" s="141">
        <f t="shared" ref="H108:H111" si="35">(G108-C108)/C108</f>
        <v>2.2114218706615969E-3</v>
      </c>
      <c r="I108" s="244">
        <f t="shared" ref="I108:I110" si="36">G108-C108</f>
        <v>676876</v>
      </c>
      <c r="J108" s="163"/>
      <c r="M108" s="60"/>
      <c r="X108" s="245"/>
    </row>
    <row r="109" spans="1:24" ht="14.25" customHeight="1" x14ac:dyDescent="0.2">
      <c r="A109" s="48">
        <v>3</v>
      </c>
      <c r="B109" s="243" t="s">
        <v>4</v>
      </c>
      <c r="C109" s="37">
        <v>25476160</v>
      </c>
      <c r="D109" s="72"/>
      <c r="E109" s="107"/>
      <c r="F109" s="105"/>
      <c r="G109" s="10">
        <v>25476160</v>
      </c>
      <c r="H109" s="141">
        <f t="shared" si="35"/>
        <v>0</v>
      </c>
      <c r="I109" s="244">
        <f t="shared" si="36"/>
        <v>0</v>
      </c>
      <c r="J109" s="163"/>
      <c r="M109" s="60"/>
      <c r="X109" s="246"/>
    </row>
    <row r="110" spans="1:24" ht="14.25" customHeight="1" x14ac:dyDescent="0.2">
      <c r="A110" s="48">
        <v>4</v>
      </c>
      <c r="B110" s="243" t="s">
        <v>6</v>
      </c>
      <c r="C110" s="37">
        <v>25448000</v>
      </c>
      <c r="D110" s="72"/>
      <c r="E110" s="107"/>
      <c r="F110" s="105"/>
      <c r="G110" s="10">
        <v>25448000</v>
      </c>
      <c r="H110" s="141">
        <f t="shared" si="35"/>
        <v>0</v>
      </c>
      <c r="I110" s="244">
        <f t="shared" si="36"/>
        <v>0</v>
      </c>
      <c r="J110" s="163"/>
      <c r="M110" s="60"/>
      <c r="X110" s="246"/>
    </row>
    <row r="111" spans="1:24" ht="14.25" customHeight="1" x14ac:dyDescent="0.2">
      <c r="A111" s="48">
        <v>5</v>
      </c>
      <c r="B111" s="243" t="s">
        <v>33</v>
      </c>
      <c r="C111" s="37">
        <v>280815980</v>
      </c>
      <c r="D111" s="72"/>
      <c r="E111" s="107"/>
      <c r="F111" s="104"/>
      <c r="G111" s="10">
        <v>280815980</v>
      </c>
      <c r="H111" s="141">
        <f t="shared" si="35"/>
        <v>0</v>
      </c>
      <c r="I111" s="244">
        <f>G111-C111</f>
        <v>0</v>
      </c>
      <c r="J111" s="163"/>
      <c r="M111" s="60">
        <v>299067959</v>
      </c>
      <c r="X111" s="246"/>
    </row>
    <row r="112" spans="1:24" ht="14.25" customHeight="1" x14ac:dyDescent="0.2">
      <c r="A112" s="48">
        <v>6</v>
      </c>
      <c r="B112" s="247" t="s">
        <v>5</v>
      </c>
      <c r="C112" s="37">
        <v>62181804</v>
      </c>
      <c r="D112" s="73"/>
      <c r="E112" s="107"/>
      <c r="F112" s="105"/>
      <c r="G112" s="10">
        <v>62181804</v>
      </c>
      <c r="H112" s="232">
        <f t="shared" ref="H112:H116" si="37">IFERROR((G112-C112)/C112,"100.0%")</f>
        <v>0</v>
      </c>
      <c r="I112" s="244">
        <f>G112-C112</f>
        <v>0</v>
      </c>
      <c r="J112" s="163"/>
      <c r="M112" s="60">
        <v>65912358</v>
      </c>
      <c r="X112" s="246"/>
    </row>
    <row r="113" spans="1:24" ht="14.25" customHeight="1" x14ac:dyDescent="0.2">
      <c r="A113" s="48">
        <v>7</v>
      </c>
      <c r="B113" s="247" t="s">
        <v>7</v>
      </c>
      <c r="C113" s="37">
        <v>0</v>
      </c>
      <c r="D113" s="72"/>
      <c r="E113" s="107"/>
      <c r="F113" s="104"/>
      <c r="G113" s="10">
        <v>24500000</v>
      </c>
      <c r="H113" s="232" t="str">
        <f t="shared" si="37"/>
        <v>100.0%</v>
      </c>
      <c r="I113" s="244">
        <f t="shared" ref="I113:I119" si="38">G113-C113</f>
        <v>24500000</v>
      </c>
      <c r="J113" s="163"/>
      <c r="M113" s="60"/>
      <c r="X113" s="246"/>
    </row>
    <row r="114" spans="1:24" ht="14.25" customHeight="1" x14ac:dyDescent="0.2">
      <c r="A114" s="48">
        <v>8</v>
      </c>
      <c r="B114" s="247" t="s">
        <v>24</v>
      </c>
      <c r="C114" s="37">
        <v>0</v>
      </c>
      <c r="D114" s="72"/>
      <c r="E114" s="107"/>
      <c r="F114" s="104"/>
      <c r="G114" s="10">
        <v>20691696</v>
      </c>
      <c r="H114" s="232" t="str">
        <f t="shared" si="37"/>
        <v>100.0%</v>
      </c>
      <c r="I114" s="244">
        <f t="shared" si="38"/>
        <v>20691696</v>
      </c>
      <c r="J114" s="163"/>
      <c r="M114" s="60"/>
      <c r="X114" s="246"/>
    </row>
    <row r="115" spans="1:24" ht="14.25" customHeight="1" x14ac:dyDescent="0.2">
      <c r="A115" s="48">
        <v>9</v>
      </c>
      <c r="B115" s="247" t="s">
        <v>1</v>
      </c>
      <c r="C115" s="37">
        <v>0</v>
      </c>
      <c r="D115" s="72"/>
      <c r="E115" s="107"/>
      <c r="F115" s="104"/>
      <c r="G115" s="10">
        <v>3160628</v>
      </c>
      <c r="H115" s="232" t="str">
        <f t="shared" si="37"/>
        <v>100.0%</v>
      </c>
      <c r="I115" s="244">
        <f t="shared" si="38"/>
        <v>3160628</v>
      </c>
      <c r="J115" s="163"/>
      <c r="M115" s="60"/>
      <c r="X115" s="246"/>
    </row>
    <row r="116" spans="1:24" ht="14.25" customHeight="1" x14ac:dyDescent="0.2">
      <c r="A116" s="48">
        <v>10</v>
      </c>
      <c r="B116" s="247" t="s">
        <v>53</v>
      </c>
      <c r="C116" s="37">
        <v>0</v>
      </c>
      <c r="D116" s="72"/>
      <c r="E116" s="107"/>
      <c r="F116" s="104"/>
      <c r="G116" s="10">
        <v>27500000</v>
      </c>
      <c r="H116" s="232" t="str">
        <f t="shared" si="37"/>
        <v>100.0%</v>
      </c>
      <c r="I116" s="244">
        <f t="shared" si="38"/>
        <v>27500000</v>
      </c>
      <c r="J116" s="163"/>
      <c r="M116" s="60"/>
      <c r="X116" s="246"/>
    </row>
    <row r="117" spans="1:24" ht="14.25" customHeight="1" x14ac:dyDescent="0.2">
      <c r="A117" s="48">
        <v>11</v>
      </c>
      <c r="B117" s="247" t="s">
        <v>65</v>
      </c>
      <c r="C117" s="37">
        <v>0</v>
      </c>
      <c r="D117" s="72"/>
      <c r="E117" s="107"/>
      <c r="F117" s="104"/>
      <c r="G117" s="10">
        <v>0</v>
      </c>
      <c r="H117" s="141"/>
      <c r="I117" s="244">
        <f t="shared" si="38"/>
        <v>0</v>
      </c>
      <c r="J117" s="163"/>
      <c r="M117" s="60"/>
      <c r="X117" s="246"/>
    </row>
    <row r="118" spans="1:24" ht="14.25" customHeight="1" x14ac:dyDescent="0.2">
      <c r="A118" s="48">
        <v>12</v>
      </c>
      <c r="B118" s="247" t="s">
        <v>64</v>
      </c>
      <c r="C118" s="37">
        <v>0</v>
      </c>
      <c r="D118" s="72"/>
      <c r="E118" s="107"/>
      <c r="F118" s="104"/>
      <c r="G118" s="10">
        <v>0</v>
      </c>
      <c r="H118" s="141"/>
      <c r="I118" s="244">
        <f t="shared" si="38"/>
        <v>0</v>
      </c>
      <c r="J118" s="163"/>
      <c r="M118" s="60"/>
      <c r="X118" s="246"/>
    </row>
    <row r="119" spans="1:24" ht="14.25" customHeight="1" x14ac:dyDescent="0.2">
      <c r="A119" s="48">
        <v>13</v>
      </c>
      <c r="B119" s="247" t="s">
        <v>745</v>
      </c>
      <c r="C119" s="37">
        <v>0</v>
      </c>
      <c r="D119" s="72"/>
      <c r="E119" s="107"/>
      <c r="F119" s="104"/>
      <c r="G119" s="10">
        <v>0</v>
      </c>
      <c r="H119" s="141"/>
      <c r="I119" s="244">
        <f t="shared" si="38"/>
        <v>0</v>
      </c>
      <c r="J119" s="163"/>
      <c r="M119" s="60"/>
      <c r="X119" s="246"/>
    </row>
    <row r="120" spans="1:24" ht="14.25" customHeight="1" x14ac:dyDescent="0.2">
      <c r="B120" s="247"/>
      <c r="C120" s="37"/>
      <c r="D120" s="73"/>
      <c r="E120" s="107"/>
      <c r="F120" s="105"/>
      <c r="G120" s="10"/>
      <c r="H120" s="141"/>
      <c r="I120" s="248"/>
      <c r="J120" s="163"/>
      <c r="M120" s="60"/>
      <c r="X120" s="246"/>
    </row>
    <row r="121" spans="1:24" ht="25.5" x14ac:dyDescent="0.2">
      <c r="B121" s="55" t="s">
        <v>16</v>
      </c>
      <c r="C121" s="249">
        <f>SUM(C107:C120)</f>
        <v>814853640</v>
      </c>
      <c r="D121" s="250"/>
      <c r="E121" s="251"/>
      <c r="F121" s="251"/>
      <c r="G121" s="19">
        <f>SUM(G107:G120)</f>
        <v>891382840</v>
      </c>
      <c r="H121" s="235">
        <f>(G121-C121)/C121</f>
        <v>9.3917724905787994E-2</v>
      </c>
      <c r="I121" s="248">
        <f>G121-C121</f>
        <v>76529200</v>
      </c>
      <c r="J121" s="163"/>
      <c r="K121" s="14">
        <v>283180061</v>
      </c>
      <c r="L121" s="159">
        <f>G121/K121</f>
        <v>3.147759898250746</v>
      </c>
      <c r="M121" s="48">
        <v>364980317</v>
      </c>
      <c r="X121" s="246"/>
    </row>
    <row r="122" spans="1:24" x14ac:dyDescent="0.2">
      <c r="C122" s="45"/>
      <c r="D122" s="45"/>
      <c r="E122" s="155">
        <f>E121/C121</f>
        <v>0</v>
      </c>
      <c r="F122" s="155">
        <f>F121/C121</f>
        <v>0</v>
      </c>
      <c r="X122" s="246"/>
    </row>
    <row r="123" spans="1:24" x14ac:dyDescent="0.2">
      <c r="C123" s="45"/>
      <c r="D123" s="45"/>
      <c r="E123" s="45"/>
      <c r="F123" s="45"/>
      <c r="X123" s="246"/>
    </row>
    <row r="124" spans="1:24" ht="52.5" customHeight="1" x14ac:dyDescent="0.2">
      <c r="B124" s="44" t="s">
        <v>14</v>
      </c>
      <c r="C124" s="59" t="str">
        <f>$C$6</f>
        <v>Total FY 20-21  Appropriations</v>
      </c>
      <c r="D124" s="59"/>
      <c r="E124" s="59"/>
      <c r="F124" s="59"/>
      <c r="G124" s="84" t="str">
        <f>G$6</f>
        <v>Appropriations Act FY 22-23</v>
      </c>
      <c r="H124" s="5" t="str">
        <f>H$6</f>
        <v>% Change/w FY 20-21</v>
      </c>
      <c r="I124" s="5" t="str">
        <f>I$6</f>
        <v>$ Change</v>
      </c>
      <c r="X124" s="246"/>
    </row>
    <row r="125" spans="1:24" x14ac:dyDescent="0.2">
      <c r="A125" s="48">
        <v>1</v>
      </c>
      <c r="B125" s="240" t="s">
        <v>8</v>
      </c>
      <c r="C125" s="252">
        <v>16405222</v>
      </c>
      <c r="D125" s="140"/>
      <c r="E125" s="140"/>
      <c r="F125" s="140"/>
      <c r="G125" s="9">
        <v>16775354</v>
      </c>
      <c r="H125" s="141">
        <f t="shared" ref="H125:H139" si="39">(G125-C125)/C125</f>
        <v>2.256184037009679E-2</v>
      </c>
      <c r="I125" s="228">
        <f t="shared" ref="I125:I139" si="40">G125-C125</f>
        <v>370132</v>
      </c>
      <c r="X125" s="246"/>
    </row>
    <row r="126" spans="1:24" x14ac:dyDescent="0.2">
      <c r="A126" s="48">
        <v>2</v>
      </c>
      <c r="B126" s="243" t="s">
        <v>3</v>
      </c>
      <c r="C126" s="253">
        <v>6901178</v>
      </c>
      <c r="D126" s="144"/>
      <c r="E126" s="144"/>
      <c r="F126" s="144"/>
      <c r="G126" s="10">
        <v>7259370</v>
      </c>
      <c r="H126" s="141">
        <f t="shared" si="39"/>
        <v>5.1903022933186188E-2</v>
      </c>
      <c r="I126" s="231">
        <f t="shared" si="40"/>
        <v>358192</v>
      </c>
      <c r="X126" s="246"/>
    </row>
    <row r="127" spans="1:24" x14ac:dyDescent="0.2">
      <c r="A127" s="48">
        <v>3</v>
      </c>
      <c r="B127" s="243" t="s">
        <v>4</v>
      </c>
      <c r="C127" s="253">
        <v>12560622</v>
      </c>
      <c r="D127" s="144"/>
      <c r="E127" s="144"/>
      <c r="F127" s="144"/>
      <c r="G127" s="10">
        <v>13133730</v>
      </c>
      <c r="H127" s="141">
        <f t="shared" si="39"/>
        <v>4.5627358262990476E-2</v>
      </c>
      <c r="I127" s="231">
        <f t="shared" si="40"/>
        <v>573108</v>
      </c>
      <c r="X127" s="246"/>
    </row>
    <row r="128" spans="1:24" x14ac:dyDescent="0.2">
      <c r="A128" s="48">
        <v>4</v>
      </c>
      <c r="B128" s="243" t="s">
        <v>6</v>
      </c>
      <c r="C128" s="253">
        <v>9301068</v>
      </c>
      <c r="D128" s="144"/>
      <c r="E128" s="144"/>
      <c r="F128" s="144"/>
      <c r="G128" s="10">
        <v>9826418</v>
      </c>
      <c r="H128" s="141">
        <f t="shared" si="39"/>
        <v>5.648276090444667E-2</v>
      </c>
      <c r="I128" s="231">
        <f t="shared" si="40"/>
        <v>525350</v>
      </c>
      <c r="X128" s="246"/>
    </row>
    <row r="129" spans="1:24" x14ac:dyDescent="0.2">
      <c r="A129" s="48">
        <v>5</v>
      </c>
      <c r="B129" s="243" t="s">
        <v>2</v>
      </c>
      <c r="C129" s="253">
        <v>1755144</v>
      </c>
      <c r="D129" s="144"/>
      <c r="E129" s="144"/>
      <c r="F129" s="144"/>
      <c r="G129" s="10">
        <v>1779024</v>
      </c>
      <c r="H129" s="141">
        <f t="shared" si="39"/>
        <v>1.3605721239966635E-2</v>
      </c>
      <c r="I129" s="231">
        <f t="shared" si="40"/>
        <v>23880</v>
      </c>
      <c r="X129" s="246"/>
    </row>
    <row r="130" spans="1:24" x14ac:dyDescent="0.2">
      <c r="A130" s="48">
        <v>6</v>
      </c>
      <c r="B130" s="243" t="s">
        <v>5</v>
      </c>
      <c r="C130" s="253">
        <v>919362</v>
      </c>
      <c r="D130" s="144"/>
      <c r="E130" s="144"/>
      <c r="F130" s="144"/>
      <c r="G130" s="10">
        <v>1396952</v>
      </c>
      <c r="H130" s="141">
        <f t="shared" si="39"/>
        <v>0.51947981317478864</v>
      </c>
      <c r="I130" s="231">
        <f t="shared" si="40"/>
        <v>477590</v>
      </c>
      <c r="X130" s="246"/>
    </row>
    <row r="131" spans="1:24" x14ac:dyDescent="0.2">
      <c r="A131" s="48">
        <v>7</v>
      </c>
      <c r="B131" s="243" t="s">
        <v>7</v>
      </c>
      <c r="C131" s="253">
        <v>14244126</v>
      </c>
      <c r="D131" s="144"/>
      <c r="E131" s="144"/>
      <c r="F131" s="144"/>
      <c r="G131" s="10">
        <v>14912752</v>
      </c>
      <c r="H131" s="141">
        <f t="shared" si="39"/>
        <v>4.6940472163753674E-2</v>
      </c>
      <c r="I131" s="231">
        <f t="shared" si="40"/>
        <v>668626</v>
      </c>
      <c r="X131" s="246"/>
    </row>
    <row r="132" spans="1:24" x14ac:dyDescent="0.2">
      <c r="A132" s="48">
        <v>8</v>
      </c>
      <c r="B132" s="243" t="s">
        <v>24</v>
      </c>
      <c r="C132" s="253">
        <v>4835600</v>
      </c>
      <c r="D132" s="144"/>
      <c r="E132" s="144"/>
      <c r="F132" s="144"/>
      <c r="G132" s="10">
        <v>5647504</v>
      </c>
      <c r="H132" s="141">
        <f t="shared" si="39"/>
        <v>0.16790139796509224</v>
      </c>
      <c r="I132" s="231">
        <f t="shared" si="40"/>
        <v>811904</v>
      </c>
      <c r="X132" s="246"/>
    </row>
    <row r="133" spans="1:24" x14ac:dyDescent="0.2">
      <c r="A133" s="48">
        <v>9</v>
      </c>
      <c r="B133" s="243" t="s">
        <v>1</v>
      </c>
      <c r="C133" s="253">
        <v>5707202</v>
      </c>
      <c r="D133" s="144"/>
      <c r="E133" s="144"/>
      <c r="F133" s="144"/>
      <c r="G133" s="10">
        <v>6399708</v>
      </c>
      <c r="H133" s="141">
        <f t="shared" si="39"/>
        <v>0.12133896785149711</v>
      </c>
      <c r="I133" s="231">
        <f t="shared" si="40"/>
        <v>692506</v>
      </c>
      <c r="X133" s="246"/>
    </row>
    <row r="134" spans="1:24" ht="12.75" customHeight="1" x14ac:dyDescent="0.2">
      <c r="A134" s="48">
        <v>10</v>
      </c>
      <c r="B134" s="243" t="s">
        <v>53</v>
      </c>
      <c r="C134" s="253">
        <v>3068516</v>
      </c>
      <c r="D134" s="144"/>
      <c r="E134" s="144"/>
      <c r="F134" s="144"/>
      <c r="G134" s="10">
        <v>2937180</v>
      </c>
      <c r="H134" s="141">
        <f t="shared" si="39"/>
        <v>-4.280114557004102E-2</v>
      </c>
      <c r="I134" s="231">
        <f t="shared" si="40"/>
        <v>-131336</v>
      </c>
      <c r="X134" s="246"/>
    </row>
    <row r="135" spans="1:24" ht="12.75" customHeight="1" x14ac:dyDescent="0.2">
      <c r="A135" s="48">
        <v>11</v>
      </c>
      <c r="B135" s="243" t="s">
        <v>65</v>
      </c>
      <c r="C135" s="253">
        <v>3641626</v>
      </c>
      <c r="D135" s="144"/>
      <c r="E135" s="144"/>
      <c r="F135" s="144"/>
      <c r="G135" s="10">
        <v>4083396</v>
      </c>
      <c r="H135" s="141">
        <f t="shared" si="39"/>
        <v>0.12131119450487228</v>
      </c>
      <c r="I135" s="231">
        <f t="shared" si="40"/>
        <v>441770</v>
      </c>
    </row>
    <row r="136" spans="1:24" ht="12.75" customHeight="1" x14ac:dyDescent="0.2">
      <c r="A136" s="48">
        <v>12</v>
      </c>
      <c r="B136" s="243" t="s">
        <v>64</v>
      </c>
      <c r="C136" s="253">
        <v>2005878</v>
      </c>
      <c r="D136" s="144"/>
      <c r="E136" s="144"/>
      <c r="F136" s="144"/>
      <c r="G136" s="10">
        <v>2578986</v>
      </c>
      <c r="H136" s="141">
        <f t="shared" si="39"/>
        <v>0.2857142857142857</v>
      </c>
      <c r="I136" s="231">
        <f t="shared" si="40"/>
        <v>573108</v>
      </c>
    </row>
    <row r="137" spans="1:24" ht="12.75" customHeight="1" x14ac:dyDescent="0.2">
      <c r="A137" s="48">
        <v>13</v>
      </c>
      <c r="B137" s="243" t="s">
        <v>745</v>
      </c>
      <c r="C137" s="253">
        <v>0</v>
      </c>
      <c r="D137" s="144"/>
      <c r="E137" s="144"/>
      <c r="F137" s="144"/>
      <c r="G137" s="10">
        <v>0</v>
      </c>
      <c r="H137" s="141"/>
      <c r="I137" s="231">
        <f t="shared" si="40"/>
        <v>0</v>
      </c>
    </row>
    <row r="138" spans="1:24" ht="12.75" customHeight="1" x14ac:dyDescent="0.2">
      <c r="B138" s="243"/>
      <c r="C138" s="254"/>
      <c r="D138" s="144"/>
      <c r="E138" s="144"/>
      <c r="F138" s="144"/>
      <c r="G138" s="11"/>
      <c r="H138" s="141"/>
      <c r="I138" s="231"/>
    </row>
    <row r="139" spans="1:24" x14ac:dyDescent="0.2">
      <c r="B139" s="54" t="s">
        <v>17</v>
      </c>
      <c r="C139" s="255">
        <f t="shared" ref="C139:F139" si="41">SUM(C125:C138)</f>
        <v>81345544</v>
      </c>
      <c r="D139" s="251">
        <f t="shared" si="41"/>
        <v>0</v>
      </c>
      <c r="E139" s="251">
        <f t="shared" si="41"/>
        <v>0</v>
      </c>
      <c r="F139" s="251">
        <f t="shared" si="41"/>
        <v>0</v>
      </c>
      <c r="G139" s="14">
        <f>SUM(G125:G138)</f>
        <v>86730374</v>
      </c>
      <c r="H139" s="94">
        <f t="shared" si="39"/>
        <v>6.6196987999736043E-2</v>
      </c>
      <c r="I139" s="150">
        <f t="shared" si="40"/>
        <v>5384830</v>
      </c>
      <c r="M139" s="48">
        <v>74643462</v>
      </c>
    </row>
    <row r="140" spans="1:24" x14ac:dyDescent="0.2">
      <c r="D140" s="199"/>
      <c r="E140" s="199"/>
      <c r="F140" s="199"/>
      <c r="H140" s="154"/>
    </row>
    <row r="141" spans="1:24" x14ac:dyDescent="0.2">
      <c r="A141" s="48">
        <v>14</v>
      </c>
      <c r="B141" s="20" t="s">
        <v>23</v>
      </c>
      <c r="C141" s="256">
        <v>17193246</v>
      </c>
      <c r="D141" s="257"/>
      <c r="E141" s="257"/>
      <c r="F141" s="257"/>
      <c r="G141" s="19">
        <v>16846994</v>
      </c>
      <c r="H141" s="235">
        <f>(G141-C141)/C141</f>
        <v>-2.0138838239155073E-2</v>
      </c>
      <c r="I141" s="258">
        <f>G141-C141</f>
        <v>-346252</v>
      </c>
    </row>
    <row r="142" spans="1:24" ht="13.5" thickBot="1" x14ac:dyDescent="0.25">
      <c r="B142" s="22"/>
      <c r="C142" s="227"/>
      <c r="D142" s="86"/>
      <c r="E142" s="86"/>
      <c r="F142" s="86"/>
      <c r="G142" s="166"/>
      <c r="H142" s="166"/>
      <c r="I142" s="259"/>
    </row>
    <row r="143" spans="1:24" x14ac:dyDescent="0.2">
      <c r="B143" s="46" t="s">
        <v>43</v>
      </c>
      <c r="C143" s="260">
        <f t="shared" ref="C143:G143" si="42">C141+C139</f>
        <v>98538790</v>
      </c>
      <c r="D143" s="261">
        <f t="shared" si="42"/>
        <v>0</v>
      </c>
      <c r="E143" s="261">
        <f t="shared" si="42"/>
        <v>0</v>
      </c>
      <c r="F143" s="261">
        <f t="shared" si="42"/>
        <v>0</v>
      </c>
      <c r="G143" s="51">
        <f t="shared" si="42"/>
        <v>103577368</v>
      </c>
      <c r="H143" s="126">
        <f>(G143-C143)/C143</f>
        <v>5.113293962712552E-2</v>
      </c>
      <c r="I143" s="262">
        <f>G143-C143</f>
        <v>5038578</v>
      </c>
    </row>
    <row r="144" spans="1:24" x14ac:dyDescent="0.2">
      <c r="B144" s="64" t="s">
        <v>25</v>
      </c>
      <c r="C144" s="263">
        <v>8253</v>
      </c>
      <c r="D144" s="264"/>
      <c r="E144" s="71"/>
      <c r="F144" s="265"/>
      <c r="G144" s="266">
        <v>8675</v>
      </c>
      <c r="H144" s="95">
        <f>(G144-C144)/C144</f>
        <v>5.1132921361928999E-2</v>
      </c>
      <c r="I144" s="267">
        <f>G144-C144</f>
        <v>422</v>
      </c>
    </row>
    <row r="145" spans="1:26" x14ac:dyDescent="0.2">
      <c r="B145" s="64" t="s">
        <v>39</v>
      </c>
      <c r="C145" s="268" t="s">
        <v>73</v>
      </c>
      <c r="D145" s="71"/>
      <c r="E145" s="71"/>
      <c r="F145" s="71"/>
      <c r="G145" s="82" t="s">
        <v>78</v>
      </c>
      <c r="H145" s="166"/>
      <c r="I145" s="269"/>
    </row>
    <row r="146" spans="1:26" ht="13.5" thickBot="1" x14ac:dyDescent="0.25">
      <c r="B146" s="52" t="s">
        <v>62</v>
      </c>
      <c r="C146" s="270">
        <v>11939.754152777314</v>
      </c>
      <c r="D146" s="127"/>
      <c r="E146" s="127"/>
      <c r="F146" s="128"/>
      <c r="G146" s="53">
        <v>11939.754152777299</v>
      </c>
      <c r="H146" s="98">
        <f>(G146-C146)/C146</f>
        <v>-1.2187784641262418E-15</v>
      </c>
      <c r="I146" s="271">
        <f>G146-C146</f>
        <v>-1.4551915228366852E-11</v>
      </c>
      <c r="K146" s="23">
        <v>10584.509707140507</v>
      </c>
      <c r="L146" s="159">
        <f>G146/K146</f>
        <v>1.1280403611631173</v>
      </c>
    </row>
    <row r="147" spans="1:26" x14ac:dyDescent="0.2">
      <c r="A147" s="163"/>
      <c r="B147" s="129"/>
      <c r="C147" s="6"/>
      <c r="D147" s="129"/>
      <c r="E147" s="129"/>
      <c r="F147" s="129"/>
      <c r="G147" s="6"/>
      <c r="H147" s="206"/>
      <c r="I147" s="163"/>
      <c r="Z147" s="163"/>
    </row>
    <row r="148" spans="1:26" x14ac:dyDescent="0.2">
      <c r="A148" s="163"/>
      <c r="B148" s="45" t="s">
        <v>41</v>
      </c>
      <c r="C148" s="74">
        <f>ROUND(C146/2,0)</f>
        <v>5970</v>
      </c>
      <c r="G148" s="74">
        <f>ROUND(G146/2,0)</f>
        <v>5970</v>
      </c>
      <c r="H148" s="154"/>
      <c r="Z148" s="163"/>
    </row>
    <row r="149" spans="1:26" hidden="1" x14ac:dyDescent="0.2">
      <c r="B149" s="46" t="s">
        <v>68</v>
      </c>
      <c r="C149" s="193">
        <f>SUM(C125:C134)</f>
        <v>75698040</v>
      </c>
      <c r="D149" s="215"/>
      <c r="E149" s="215"/>
      <c r="F149" s="215"/>
      <c r="G149" s="193">
        <f>SUM(G125:G134)</f>
        <v>80067992</v>
      </c>
      <c r="H149" s="164">
        <f t="shared" ref="H149:H151" si="43">(G149-C149)/C149</f>
        <v>5.7728733795485328E-2</v>
      </c>
      <c r="I149" s="165">
        <f t="shared" ref="I149:I151" si="44">G149-C149</f>
        <v>4369952</v>
      </c>
    </row>
    <row r="150" spans="1:26" hidden="1" x14ac:dyDescent="0.2">
      <c r="B150" s="12" t="s">
        <v>66</v>
      </c>
      <c r="C150" s="77">
        <f>SUM(C135:C138)</f>
        <v>5647504</v>
      </c>
      <c r="D150" s="163"/>
      <c r="E150" s="163"/>
      <c r="F150" s="163"/>
      <c r="G150" s="77">
        <f>SUM(G135:G138)</f>
        <v>6662382</v>
      </c>
      <c r="H150" s="166">
        <f t="shared" si="43"/>
        <v>0.17970381251611331</v>
      </c>
      <c r="I150" s="167">
        <f t="shared" si="44"/>
        <v>1014878</v>
      </c>
    </row>
    <row r="151" spans="1:26" ht="13.5" hidden="1" thickBot="1" x14ac:dyDescent="0.25">
      <c r="B151" s="69" t="s">
        <v>67</v>
      </c>
      <c r="C151" s="168">
        <f>SUM(C149:C150)</f>
        <v>81345544</v>
      </c>
      <c r="D151" s="169"/>
      <c r="E151" s="169"/>
      <c r="F151" s="169"/>
      <c r="G151" s="85">
        <f>SUM(G149:G150)</f>
        <v>86730374</v>
      </c>
      <c r="H151" s="170">
        <f t="shared" si="43"/>
        <v>6.6196987999736043E-2</v>
      </c>
      <c r="I151" s="171">
        <f t="shared" si="44"/>
        <v>5384830</v>
      </c>
    </row>
    <row r="152" spans="1:26" hidden="1" x14ac:dyDescent="0.2"/>
    <row r="154" spans="1:26" x14ac:dyDescent="0.2">
      <c r="G154" s="31"/>
    </row>
    <row r="155" spans="1:26" ht="13.5" thickBot="1" x14ac:dyDescent="0.25"/>
    <row r="156" spans="1:26" ht="54" customHeight="1" x14ac:dyDescent="0.2">
      <c r="B156" s="272" t="s">
        <v>22</v>
      </c>
      <c r="C156" s="59" t="str">
        <f>$C$6</f>
        <v>Total FY 20-21  Appropriations</v>
      </c>
      <c r="D156" s="59"/>
      <c r="E156" s="59"/>
      <c r="F156" s="59"/>
      <c r="G156" s="5" t="str">
        <f>G$6</f>
        <v>Appropriations Act FY 22-23</v>
      </c>
      <c r="H156" s="43" t="str">
        <f>H$6</f>
        <v>% Change/w FY 20-21</v>
      </c>
      <c r="I156" s="43" t="str">
        <f>I$6</f>
        <v>$ Change</v>
      </c>
    </row>
    <row r="157" spans="1:26" x14ac:dyDescent="0.2">
      <c r="A157" s="48">
        <v>1</v>
      </c>
      <c r="B157" s="57" t="s">
        <v>8</v>
      </c>
      <c r="C157" s="227">
        <f t="shared" ref="C157:F167" si="45">ROUND(SUMIF($A$85:$A$139,$A157,C$85:C$139),0)</f>
        <v>307921068</v>
      </c>
      <c r="D157" s="86">
        <f t="shared" si="45"/>
        <v>0</v>
      </c>
      <c r="E157" s="86">
        <f t="shared" si="45"/>
        <v>0</v>
      </c>
      <c r="F157" s="86">
        <f t="shared" si="45"/>
        <v>0</v>
      </c>
      <c r="G157" s="13">
        <f t="shared" ref="G157:G170" ca="1" si="46">ROUND(SUMIF($A$85:$A$141,$A157,G$85:G$139),0)</f>
        <v>314589078</v>
      </c>
      <c r="H157" s="166">
        <f t="shared" ref="H157:H171" ca="1" si="47">(G157-C157)/C157</f>
        <v>2.1654932685541348E-2</v>
      </c>
      <c r="I157" s="241">
        <f t="shared" ref="I157:I171" ca="1" si="48">G157-C157</f>
        <v>6668010</v>
      </c>
    </row>
    <row r="158" spans="1:26" x14ac:dyDescent="0.2">
      <c r="A158" s="48">
        <v>2</v>
      </c>
      <c r="B158" s="57" t="s">
        <v>3</v>
      </c>
      <c r="C158" s="229">
        <f t="shared" si="45"/>
        <v>491118676</v>
      </c>
      <c r="D158" s="230">
        <f t="shared" si="45"/>
        <v>0</v>
      </c>
      <c r="E158" s="230">
        <f t="shared" si="45"/>
        <v>0</v>
      </c>
      <c r="F158" s="230">
        <f t="shared" si="45"/>
        <v>0</v>
      </c>
      <c r="G158" s="10">
        <f t="shared" ca="1" si="46"/>
        <v>496056232</v>
      </c>
      <c r="H158" s="166">
        <f t="shared" ca="1" si="47"/>
        <v>1.0053692195570261E-2</v>
      </c>
      <c r="I158" s="244">
        <f t="shared" ca="1" si="48"/>
        <v>4937556</v>
      </c>
    </row>
    <row r="159" spans="1:26" x14ac:dyDescent="0.2">
      <c r="A159" s="48">
        <v>3</v>
      </c>
      <c r="B159" s="57" t="s">
        <v>4</v>
      </c>
      <c r="C159" s="229">
        <f t="shared" si="45"/>
        <v>321641700</v>
      </c>
      <c r="D159" s="230">
        <f t="shared" si="45"/>
        <v>0</v>
      </c>
      <c r="E159" s="230">
        <f t="shared" si="45"/>
        <v>0</v>
      </c>
      <c r="F159" s="230">
        <f t="shared" si="45"/>
        <v>0</v>
      </c>
      <c r="G159" s="10">
        <f t="shared" ca="1" si="46"/>
        <v>333870800</v>
      </c>
      <c r="H159" s="166">
        <f t="shared" ca="1" si="47"/>
        <v>3.802087851171039E-2</v>
      </c>
      <c r="I159" s="244">
        <f t="shared" ca="1" si="48"/>
        <v>12229100</v>
      </c>
    </row>
    <row r="160" spans="1:26" x14ac:dyDescent="0.2">
      <c r="A160" s="48">
        <v>4</v>
      </c>
      <c r="B160" s="57" t="s">
        <v>6</v>
      </c>
      <c r="C160" s="229">
        <f t="shared" si="45"/>
        <v>247483564</v>
      </c>
      <c r="D160" s="230">
        <f t="shared" si="45"/>
        <v>0</v>
      </c>
      <c r="E160" s="230">
        <f t="shared" si="45"/>
        <v>0</v>
      </c>
      <c r="F160" s="230">
        <f t="shared" si="45"/>
        <v>0</v>
      </c>
      <c r="G160" s="10">
        <f t="shared" ca="1" si="46"/>
        <v>251348744</v>
      </c>
      <c r="H160" s="166">
        <f t="shared" ca="1" si="47"/>
        <v>1.5617926045383765E-2</v>
      </c>
      <c r="I160" s="244">
        <f t="shared" ca="1" si="48"/>
        <v>3865180</v>
      </c>
    </row>
    <row r="161" spans="1:26" x14ac:dyDescent="0.2">
      <c r="A161" s="48">
        <v>5</v>
      </c>
      <c r="B161" s="57" t="s">
        <v>2</v>
      </c>
      <c r="C161" s="229">
        <f t="shared" si="45"/>
        <v>376722296</v>
      </c>
      <c r="D161" s="230">
        <f t="shared" si="45"/>
        <v>0</v>
      </c>
      <c r="E161" s="230">
        <f t="shared" si="45"/>
        <v>0</v>
      </c>
      <c r="F161" s="230">
        <f t="shared" si="45"/>
        <v>0</v>
      </c>
      <c r="G161" s="10">
        <f t="shared" ca="1" si="46"/>
        <v>383957948</v>
      </c>
      <c r="H161" s="166">
        <f t="shared" ca="1" si="47"/>
        <v>1.9206858943119205E-2</v>
      </c>
      <c r="I161" s="244">
        <f t="shared" ca="1" si="48"/>
        <v>7235652</v>
      </c>
    </row>
    <row r="162" spans="1:26" x14ac:dyDescent="0.2">
      <c r="A162" s="48">
        <v>6</v>
      </c>
      <c r="B162" s="57" t="s">
        <v>5</v>
      </c>
      <c r="C162" s="229">
        <f t="shared" si="45"/>
        <v>71623354</v>
      </c>
      <c r="D162" s="230">
        <f t="shared" si="45"/>
        <v>0</v>
      </c>
      <c r="E162" s="230">
        <f t="shared" si="45"/>
        <v>0</v>
      </c>
      <c r="F162" s="230">
        <f t="shared" si="45"/>
        <v>0</v>
      </c>
      <c r="G162" s="10">
        <f t="shared" ca="1" si="46"/>
        <v>74659478</v>
      </c>
      <c r="H162" s="166">
        <f t="shared" ca="1" si="47"/>
        <v>4.2390139953512929E-2</v>
      </c>
      <c r="I162" s="244">
        <f t="shared" ca="1" si="48"/>
        <v>3036124</v>
      </c>
    </row>
    <row r="163" spans="1:26" x14ac:dyDescent="0.2">
      <c r="A163" s="48">
        <v>7</v>
      </c>
      <c r="B163" s="57" t="s">
        <v>7</v>
      </c>
      <c r="C163" s="229">
        <f t="shared" si="45"/>
        <v>218954156</v>
      </c>
      <c r="D163" s="230">
        <f t="shared" si="45"/>
        <v>0</v>
      </c>
      <c r="E163" s="230">
        <f t="shared" si="45"/>
        <v>0</v>
      </c>
      <c r="F163" s="230">
        <f t="shared" si="45"/>
        <v>0</v>
      </c>
      <c r="G163" s="10">
        <f t="shared" ca="1" si="46"/>
        <v>255685926</v>
      </c>
      <c r="H163" s="166">
        <f t="shared" ca="1" si="47"/>
        <v>0.16776009494882574</v>
      </c>
      <c r="I163" s="244">
        <f t="shared" ca="1" si="48"/>
        <v>36731770</v>
      </c>
    </row>
    <row r="164" spans="1:26" x14ac:dyDescent="0.2">
      <c r="A164" s="48">
        <v>8</v>
      </c>
      <c r="B164" s="57" t="s">
        <v>24</v>
      </c>
      <c r="C164" s="229">
        <f t="shared" si="45"/>
        <v>150793166</v>
      </c>
      <c r="D164" s="230">
        <f t="shared" si="45"/>
        <v>0</v>
      </c>
      <c r="E164" s="230">
        <f t="shared" si="45"/>
        <v>0</v>
      </c>
      <c r="F164" s="230">
        <f t="shared" si="45"/>
        <v>0</v>
      </c>
      <c r="G164" s="10">
        <f t="shared" ca="1" si="46"/>
        <v>174871916</v>
      </c>
      <c r="H164" s="166">
        <f t="shared" ca="1" si="47"/>
        <v>0.15968064494381662</v>
      </c>
      <c r="I164" s="244">
        <f t="shared" ca="1" si="48"/>
        <v>24078750</v>
      </c>
    </row>
    <row r="165" spans="1:26" x14ac:dyDescent="0.2">
      <c r="A165" s="48">
        <v>9</v>
      </c>
      <c r="B165" s="57" t="s">
        <v>1</v>
      </c>
      <c r="C165" s="229">
        <f t="shared" si="45"/>
        <v>229217588</v>
      </c>
      <c r="D165" s="230">
        <f t="shared" si="45"/>
        <v>0</v>
      </c>
      <c r="E165" s="230">
        <f t="shared" si="45"/>
        <v>0</v>
      </c>
      <c r="F165" s="230">
        <f t="shared" si="45"/>
        <v>0</v>
      </c>
      <c r="G165" s="10">
        <f t="shared" ca="1" si="46"/>
        <v>237014024</v>
      </c>
      <c r="H165" s="166">
        <f t="shared" ca="1" si="47"/>
        <v>3.4013253817154726E-2</v>
      </c>
      <c r="I165" s="244">
        <f t="shared" ca="1" si="48"/>
        <v>7796436</v>
      </c>
    </row>
    <row r="166" spans="1:26" x14ac:dyDescent="0.2">
      <c r="A166" s="48">
        <v>10</v>
      </c>
      <c r="B166" s="57" t="s">
        <v>53</v>
      </c>
      <c r="C166" s="229">
        <f t="shared" si="45"/>
        <v>57840836</v>
      </c>
      <c r="D166" s="230">
        <f t="shared" si="45"/>
        <v>0</v>
      </c>
      <c r="E166" s="230">
        <f t="shared" si="45"/>
        <v>0</v>
      </c>
      <c r="F166" s="230">
        <f t="shared" si="45"/>
        <v>0</v>
      </c>
      <c r="G166" s="10">
        <f t="shared" ca="1" si="46"/>
        <v>87486874</v>
      </c>
      <c r="H166" s="166">
        <f t="shared" ca="1" si="47"/>
        <v>0.51254511604915254</v>
      </c>
      <c r="I166" s="244">
        <f t="shared" ca="1" si="48"/>
        <v>29646038</v>
      </c>
    </row>
    <row r="167" spans="1:26" x14ac:dyDescent="0.2">
      <c r="A167" s="48">
        <v>11</v>
      </c>
      <c r="B167" s="57" t="s">
        <v>65</v>
      </c>
      <c r="C167" s="229">
        <f t="shared" si="45"/>
        <v>24085070</v>
      </c>
      <c r="D167" s="230">
        <f t="shared" si="45"/>
        <v>0</v>
      </c>
      <c r="E167" s="230">
        <f t="shared" si="45"/>
        <v>0</v>
      </c>
      <c r="F167" s="230">
        <f t="shared" si="45"/>
        <v>0</v>
      </c>
      <c r="G167" s="10">
        <f t="shared" ca="1" si="46"/>
        <v>30346002</v>
      </c>
      <c r="H167" s="166">
        <f t="shared" ca="1" si="47"/>
        <v>0.2599507495722454</v>
      </c>
      <c r="I167" s="244">
        <f t="shared" ca="1" si="48"/>
        <v>6260932</v>
      </c>
    </row>
    <row r="168" spans="1:26" x14ac:dyDescent="0.2">
      <c r="A168" s="48">
        <v>12</v>
      </c>
      <c r="B168" s="57" t="s">
        <v>64</v>
      </c>
      <c r="C168" s="229">
        <f>ROUND(SUMIF($A$85:$A$139,$A168,C$85:C$139),0)</f>
        <v>21307246</v>
      </c>
      <c r="D168" s="230"/>
      <c r="E168" s="230"/>
      <c r="F168" s="230"/>
      <c r="G168" s="10">
        <f t="shared" ca="1" si="46"/>
        <v>29356324</v>
      </c>
      <c r="H168" s="166">
        <f t="shared" ca="1" si="47"/>
        <v>0.37776247573243393</v>
      </c>
      <c r="I168" s="244">
        <f t="shared" ca="1" si="48"/>
        <v>8049078</v>
      </c>
    </row>
    <row r="169" spans="1:26" x14ac:dyDescent="0.2">
      <c r="A169" s="48">
        <v>13</v>
      </c>
      <c r="B169" s="57" t="s">
        <v>745</v>
      </c>
      <c r="C169" s="229">
        <f>ROUND(SUMIF($A$85:$A$139,$A169,C$85:C$139),0)</f>
        <v>0</v>
      </c>
      <c r="D169" s="230"/>
      <c r="E169" s="230"/>
      <c r="F169" s="230"/>
      <c r="G169" s="10">
        <f t="shared" ca="1" si="46"/>
        <v>6476270</v>
      </c>
      <c r="H169" s="166"/>
      <c r="I169" s="244">
        <f t="shared" ca="1" si="48"/>
        <v>6476270</v>
      </c>
    </row>
    <row r="170" spans="1:26" x14ac:dyDescent="0.2">
      <c r="B170" s="57"/>
      <c r="C170" s="229">
        <f>ROUND(SUMIF($A$85:$A$139,$A170,C$85:C$139),0)</f>
        <v>0</v>
      </c>
      <c r="D170" s="230">
        <f>ROUND(SUMIF($A$85:$A$139,$A170,D$85:D$139),0)</f>
        <v>0</v>
      </c>
      <c r="E170" s="230">
        <f>ROUND(SUMIF($A$85:$A$139,$A170,E$85:E$139),0)</f>
        <v>0</v>
      </c>
      <c r="F170" s="230">
        <f>ROUND(SUMIF($A$85:$A$139,$A170,F$85:F$139),0)</f>
        <v>0</v>
      </c>
      <c r="G170" s="10">
        <f t="shared" ca="1" si="46"/>
        <v>0</v>
      </c>
      <c r="H170" s="166"/>
      <c r="I170" s="244"/>
    </row>
    <row r="171" spans="1:26" ht="26.25" thickBot="1" x14ac:dyDescent="0.25">
      <c r="B171" s="273" t="s">
        <v>26</v>
      </c>
      <c r="C171" s="274">
        <f>SUM(C157:C170)</f>
        <v>2518708720</v>
      </c>
      <c r="D171" s="274">
        <f t="shared" ref="D171:F171" si="49">SUM(D157:D170)</f>
        <v>0</v>
      </c>
      <c r="E171" s="274">
        <f t="shared" si="49"/>
        <v>0</v>
      </c>
      <c r="F171" s="274">
        <f t="shared" si="49"/>
        <v>0</v>
      </c>
      <c r="G171" s="18">
        <f ca="1">SUM(G157:G170)</f>
        <v>2675719616</v>
      </c>
      <c r="H171" s="275">
        <f t="shared" ca="1" si="47"/>
        <v>6.2337853818999762E-2</v>
      </c>
      <c r="I171" s="276">
        <f t="shared" ca="1" si="48"/>
        <v>157010896</v>
      </c>
      <c r="K171" s="134"/>
    </row>
    <row r="172" spans="1:26" ht="13.5" thickBot="1" x14ac:dyDescent="0.25">
      <c r="A172" s="163"/>
      <c r="B172" s="277"/>
      <c r="C172" s="278"/>
      <c r="D172" s="279"/>
      <c r="E172" s="155">
        <f>E171/C171</f>
        <v>0</v>
      </c>
      <c r="F172" s="155">
        <f>F171/C171</f>
        <v>0</v>
      </c>
      <c r="G172" s="280"/>
      <c r="H172" s="280"/>
      <c r="I172" s="281"/>
      <c r="K172" s="134"/>
      <c r="Z172" s="163"/>
    </row>
    <row r="173" spans="1:26" x14ac:dyDescent="0.2">
      <c r="A173" s="163">
        <v>14</v>
      </c>
      <c r="B173" s="46" t="str">
        <f>B141</f>
        <v>Baylor Coll. of Medicine - GME</v>
      </c>
      <c r="C173" s="282">
        <f>ROUND(SUMIF($A85:$A141,$A173,C85:C141),0)</f>
        <v>17193246</v>
      </c>
      <c r="D173" s="283">
        <f>ROUND(SUMIF($A85:$A141,$A173,D85:D141),0)</f>
        <v>0</v>
      </c>
      <c r="E173" s="283">
        <f>ROUND(SUMIF($A85:$A141,$A173,E85:E141),0)</f>
        <v>0</v>
      </c>
      <c r="F173" s="283">
        <f>ROUND(SUMIF($A85:$A141,$A173,F85:F141),0)</f>
        <v>0</v>
      </c>
      <c r="G173" s="24">
        <f>ROUND(SUMIF($A85:$A141,$A173,G85:G141),0)</f>
        <v>16846994</v>
      </c>
      <c r="H173" s="164">
        <f>(G173-C173)/C173</f>
        <v>-2.0138838239155073E-2</v>
      </c>
      <c r="I173" s="284">
        <f>G173-C173</f>
        <v>-346252</v>
      </c>
      <c r="K173" s="134"/>
      <c r="Z173" s="163"/>
    </row>
    <row r="174" spans="1:26" x14ac:dyDescent="0.2">
      <c r="B174" s="64"/>
      <c r="C174" s="6"/>
      <c r="D174" s="6"/>
      <c r="E174" s="6"/>
      <c r="F174" s="6"/>
      <c r="G174" s="163"/>
      <c r="H174" s="206"/>
      <c r="I174" s="163"/>
    </row>
    <row r="175" spans="1:26" s="80" customFormat="1" ht="13.5" thickBot="1" x14ac:dyDescent="0.25">
      <c r="A175" s="48"/>
      <c r="B175" s="38" t="s">
        <v>38</v>
      </c>
      <c r="C175" s="47">
        <f>C173+C171</f>
        <v>2535901966</v>
      </c>
      <c r="D175" s="47">
        <f t="shared" ref="D175:F175" si="50">D173+D171</f>
        <v>0</v>
      </c>
      <c r="E175" s="47">
        <f t="shared" si="50"/>
        <v>0</v>
      </c>
      <c r="F175" s="47">
        <f t="shared" si="50"/>
        <v>0</v>
      </c>
      <c r="G175" s="47">
        <f ca="1">G173+G171</f>
        <v>2692566610</v>
      </c>
      <c r="H175" s="285">
        <f ca="1">(G175-C175)/C175</f>
        <v>6.1778667354051811E-2</v>
      </c>
      <c r="I175" s="286">
        <f ca="1">G175-C175</f>
        <v>156664644</v>
      </c>
      <c r="J175" s="48"/>
      <c r="K175" s="48"/>
      <c r="L175" s="48"/>
      <c r="M175" s="48"/>
      <c r="Z175" s="48"/>
    </row>
    <row r="176" spans="1:26" x14ac:dyDescent="0.2">
      <c r="G176" s="31"/>
      <c r="H176" s="154"/>
    </row>
    <row r="177" spans="1:26" hidden="1" x14ac:dyDescent="0.2">
      <c r="B177" s="46" t="s">
        <v>68</v>
      </c>
      <c r="C177" s="193">
        <f>SUM(C157:C166)</f>
        <v>2473316404</v>
      </c>
      <c r="D177" s="215"/>
      <c r="E177" s="215"/>
      <c r="F177" s="215"/>
      <c r="G177" s="193">
        <f ca="1">SUM(G157:G166)</f>
        <v>2609541020</v>
      </c>
      <c r="H177" s="164">
        <f t="shared" ref="H177:H179" ca="1" si="51">(G177-C177)/C177</f>
        <v>5.5077714998246541E-2</v>
      </c>
      <c r="I177" s="165">
        <f t="shared" ref="I177:I179" ca="1" si="52">G177-C177</f>
        <v>136224616</v>
      </c>
    </row>
    <row r="178" spans="1:26" hidden="1" x14ac:dyDescent="0.2">
      <c r="B178" s="12" t="s">
        <v>66</v>
      </c>
      <c r="C178" s="77">
        <f>SUM(C167:C170)</f>
        <v>45392316</v>
      </c>
      <c r="D178" s="163"/>
      <c r="E178" s="163"/>
      <c r="F178" s="163"/>
      <c r="G178" s="77">
        <f ca="1">SUM(G167:G170)</f>
        <v>66178596</v>
      </c>
      <c r="H178" s="166">
        <f t="shared" ca="1" si="51"/>
        <v>0.45792508141686361</v>
      </c>
      <c r="I178" s="167">
        <f t="shared" ca="1" si="52"/>
        <v>20786280</v>
      </c>
    </row>
    <row r="179" spans="1:26" ht="13.5" hidden="1" thickBot="1" x14ac:dyDescent="0.25">
      <c r="B179" s="69" t="s">
        <v>67</v>
      </c>
      <c r="C179" s="168">
        <f>SUM(C177:C178)</f>
        <v>2518708720</v>
      </c>
      <c r="D179" s="169"/>
      <c r="E179" s="169"/>
      <c r="F179" s="169"/>
      <c r="G179" s="85">
        <f ca="1">SUM(G177:G178)</f>
        <v>2675719616</v>
      </c>
      <c r="H179" s="170">
        <f t="shared" ca="1" si="51"/>
        <v>6.2337853818999762E-2</v>
      </c>
      <c r="I179" s="171">
        <f t="shared" ca="1" si="52"/>
        <v>157010896</v>
      </c>
    </row>
    <row r="180" spans="1:26" hidden="1" x14ac:dyDescent="0.2">
      <c r="G180" s="31"/>
    </row>
    <row r="181" spans="1:26" s="80" customFormat="1" ht="13.5" thickBot="1" x14ac:dyDescent="0.25">
      <c r="A181" s="48"/>
      <c r="B181" s="45"/>
      <c r="C181" s="31"/>
      <c r="D181" s="31"/>
      <c r="E181" s="31"/>
      <c r="F181" s="31"/>
      <c r="G181" s="3"/>
      <c r="H181" s="48"/>
      <c r="I181" s="48"/>
      <c r="J181" s="48"/>
      <c r="K181" s="48"/>
      <c r="L181" s="48"/>
      <c r="M181" s="48"/>
      <c r="Z181" s="48"/>
    </row>
    <row r="182" spans="1:26" s="80" customFormat="1" ht="38.25" x14ac:dyDescent="0.2">
      <c r="A182" s="48"/>
      <c r="B182" s="287" t="s">
        <v>35</v>
      </c>
      <c r="C182" s="59" t="str">
        <f>$C$6</f>
        <v>Total FY 20-21  Appropriations</v>
      </c>
      <c r="D182" s="58"/>
      <c r="E182" s="59"/>
      <c r="F182" s="59"/>
      <c r="G182" s="43" t="str">
        <f>G$6</f>
        <v>Appropriations Act FY 22-23</v>
      </c>
      <c r="H182" s="43" t="str">
        <f>H$6</f>
        <v>% Change/w FY 20-21</v>
      </c>
      <c r="I182" s="43" t="str">
        <f>I$6</f>
        <v>$ Change</v>
      </c>
      <c r="J182" s="48"/>
      <c r="K182" s="48"/>
      <c r="L182" s="48"/>
      <c r="M182" s="48"/>
      <c r="Z182" s="48"/>
    </row>
    <row r="183" spans="1:26" s="80" customFormat="1" x14ac:dyDescent="0.2">
      <c r="A183" s="48"/>
      <c r="B183" s="64"/>
      <c r="C183" s="163"/>
      <c r="D183" s="163"/>
      <c r="E183" s="163"/>
      <c r="F183" s="163"/>
      <c r="G183" s="6"/>
      <c r="H183" s="163"/>
      <c r="I183" s="288"/>
      <c r="J183" s="48"/>
      <c r="K183" s="48"/>
      <c r="L183" s="48"/>
      <c r="M183" s="48"/>
      <c r="Z183" s="48"/>
    </row>
    <row r="184" spans="1:26" s="80" customFormat="1" x14ac:dyDescent="0.2">
      <c r="A184" s="48"/>
      <c r="B184" s="41" t="s">
        <v>10</v>
      </c>
      <c r="C184" s="162">
        <f>C21</f>
        <v>1259300650</v>
      </c>
      <c r="D184" s="162">
        <f>D21</f>
        <v>0</v>
      </c>
      <c r="E184" s="162">
        <f>E21</f>
        <v>0</v>
      </c>
      <c r="F184" s="162">
        <f>F21</f>
        <v>0</v>
      </c>
      <c r="G184" s="162">
        <f>G21</f>
        <v>1294860566</v>
      </c>
      <c r="H184" s="166">
        <f>(G184-C184)/C184</f>
        <v>2.8237828671016728E-2</v>
      </c>
      <c r="I184" s="289">
        <f>G184-C184</f>
        <v>35559916</v>
      </c>
      <c r="J184" s="48"/>
      <c r="K184" s="48"/>
      <c r="L184" s="48"/>
      <c r="M184" s="48"/>
      <c r="Z184" s="48"/>
    </row>
    <row r="185" spans="1:26" s="80" customFormat="1" x14ac:dyDescent="0.2">
      <c r="A185" s="48"/>
      <c r="B185" s="41" t="s">
        <v>11</v>
      </c>
      <c r="C185" s="77">
        <f>C45</f>
        <v>278663452</v>
      </c>
      <c r="D185" s="77">
        <f>D45</f>
        <v>0</v>
      </c>
      <c r="E185" s="77">
        <f>E45</f>
        <v>0</v>
      </c>
      <c r="F185" s="77">
        <f>F45</f>
        <v>0</v>
      </c>
      <c r="G185" s="77">
        <f>G45</f>
        <v>306195864</v>
      </c>
      <c r="H185" s="166">
        <f>(G185-C185)/C185</f>
        <v>9.8801661295719545E-2</v>
      </c>
      <c r="I185" s="244">
        <f>G185-C185</f>
        <v>27532412</v>
      </c>
      <c r="J185" s="48"/>
      <c r="K185" s="48"/>
      <c r="L185" s="48"/>
      <c r="M185" s="48"/>
      <c r="Z185" s="48"/>
    </row>
    <row r="186" spans="1:26" s="80" customFormat="1" x14ac:dyDescent="0.2">
      <c r="A186" s="48"/>
      <c r="B186" s="41" t="s">
        <v>12</v>
      </c>
      <c r="C186" s="290">
        <f>C71</f>
        <v>84545434</v>
      </c>
      <c r="D186" s="290">
        <f>D71</f>
        <v>0</v>
      </c>
      <c r="E186" s="290">
        <f>E71</f>
        <v>0</v>
      </c>
      <c r="F186" s="290">
        <f>F71</f>
        <v>0</v>
      </c>
      <c r="G186" s="290">
        <f>G71</f>
        <v>96549972</v>
      </c>
      <c r="H186" s="166">
        <f>(G186-C186)/C186</f>
        <v>0.14198919364468576</v>
      </c>
      <c r="I186" s="244">
        <f>G186-C186</f>
        <v>12004538</v>
      </c>
      <c r="J186" s="48"/>
      <c r="K186" s="48"/>
      <c r="L186" s="48"/>
      <c r="M186" s="48"/>
      <c r="Z186" s="48"/>
    </row>
    <row r="187" spans="1:26" s="80" customFormat="1" x14ac:dyDescent="0.2">
      <c r="A187" s="48"/>
      <c r="B187" s="291" t="s">
        <v>37</v>
      </c>
      <c r="C187" s="292">
        <f t="shared" ref="C187:F187" si="53">SUM(C184:C186)</f>
        <v>1622509536</v>
      </c>
      <c r="D187" s="292">
        <f t="shared" si="53"/>
        <v>0</v>
      </c>
      <c r="E187" s="292">
        <f t="shared" si="53"/>
        <v>0</v>
      </c>
      <c r="F187" s="292">
        <f t="shared" si="53"/>
        <v>0</v>
      </c>
      <c r="G187" s="292">
        <f>SUM(G184:G186)</f>
        <v>1697606402</v>
      </c>
      <c r="H187" s="235">
        <f>(G187-C187)/C187</f>
        <v>4.6284391144558429E-2</v>
      </c>
      <c r="I187" s="293">
        <f>G187-C187</f>
        <v>75096866</v>
      </c>
      <c r="J187" s="48"/>
      <c r="K187" s="48"/>
      <c r="L187" s="48"/>
      <c r="M187" s="48"/>
      <c r="Z187" s="48"/>
    </row>
    <row r="188" spans="1:26" s="80" customFormat="1" x14ac:dyDescent="0.2">
      <c r="A188" s="48"/>
      <c r="B188" s="64"/>
      <c r="C188" s="163"/>
      <c r="D188" s="163"/>
      <c r="E188" s="163"/>
      <c r="F188" s="163"/>
      <c r="G188" s="6"/>
      <c r="H188" s="166"/>
      <c r="I188" s="294"/>
      <c r="J188" s="48"/>
      <c r="K188" s="48"/>
      <c r="L188" s="48"/>
      <c r="M188" s="48"/>
      <c r="Z188" s="48"/>
    </row>
    <row r="189" spans="1:26" s="80" customFormat="1" x14ac:dyDescent="0.2">
      <c r="A189" s="48"/>
      <c r="B189" s="41" t="s">
        <v>21</v>
      </c>
      <c r="C189" s="162">
        <f>C121</f>
        <v>814853640</v>
      </c>
      <c r="D189" s="162">
        <f t="shared" ref="D189:F189" si="54">D121</f>
        <v>0</v>
      </c>
      <c r="E189" s="162">
        <f t="shared" si="54"/>
        <v>0</v>
      </c>
      <c r="F189" s="162">
        <f t="shared" si="54"/>
        <v>0</v>
      </c>
      <c r="G189" s="162">
        <f>G121</f>
        <v>891382840</v>
      </c>
      <c r="H189" s="166">
        <f>(G189-C189)/C189</f>
        <v>9.3917724905787994E-2</v>
      </c>
      <c r="I189" s="289">
        <f>G189-C189</f>
        <v>76529200</v>
      </c>
      <c r="J189" s="48"/>
      <c r="K189" s="48"/>
      <c r="L189" s="48"/>
      <c r="M189" s="48"/>
      <c r="Z189" s="48"/>
    </row>
    <row r="190" spans="1:26" s="80" customFormat="1" x14ac:dyDescent="0.2">
      <c r="A190" s="48"/>
      <c r="B190" s="41" t="s">
        <v>14</v>
      </c>
      <c r="C190" s="290">
        <f>C139</f>
        <v>81345544</v>
      </c>
      <c r="D190" s="290">
        <f t="shared" ref="D190:F190" si="55">D139</f>
        <v>0</v>
      </c>
      <c r="E190" s="290">
        <f t="shared" si="55"/>
        <v>0</v>
      </c>
      <c r="F190" s="290">
        <f t="shared" si="55"/>
        <v>0</v>
      </c>
      <c r="G190" s="290">
        <f>G139</f>
        <v>86730374</v>
      </c>
      <c r="H190" s="166">
        <f>(G190-C190)/C190</f>
        <v>6.6196987999736043E-2</v>
      </c>
      <c r="I190" s="244">
        <f>G190-C190</f>
        <v>5384830</v>
      </c>
      <c r="J190" s="48"/>
      <c r="K190" s="48"/>
      <c r="L190" s="48"/>
      <c r="M190" s="48"/>
      <c r="Z190" s="48"/>
    </row>
    <row r="191" spans="1:26" s="80" customFormat="1" ht="13.5" thickBot="1" x14ac:dyDescent="0.25">
      <c r="A191" s="48"/>
      <c r="B191" s="40" t="s">
        <v>36</v>
      </c>
      <c r="C191" s="70">
        <f t="shared" ref="C191:F191" si="56">SUM(C187:C190)</f>
        <v>2518708720</v>
      </c>
      <c r="D191" s="70">
        <f t="shared" si="56"/>
        <v>0</v>
      </c>
      <c r="E191" s="70">
        <f t="shared" si="56"/>
        <v>0</v>
      </c>
      <c r="F191" s="70">
        <f t="shared" si="56"/>
        <v>0</v>
      </c>
      <c r="G191" s="70">
        <f>SUM(G187:G190)</f>
        <v>2675719616</v>
      </c>
      <c r="H191" s="235">
        <f>(G191-C191)/C191</f>
        <v>6.2337853818999762E-2</v>
      </c>
      <c r="I191" s="293">
        <f>G191-C191</f>
        <v>157010896</v>
      </c>
      <c r="J191" s="48"/>
      <c r="K191" s="48"/>
      <c r="L191" s="48"/>
      <c r="M191" s="48"/>
      <c r="Z191" s="48"/>
    </row>
    <row r="192" spans="1:26" s="80" customFormat="1" ht="13.5" thickTop="1" x14ac:dyDescent="0.2">
      <c r="A192" s="48"/>
      <c r="B192" s="64"/>
      <c r="C192" s="86"/>
      <c r="D192" s="86"/>
      <c r="E192" s="86"/>
      <c r="F192" s="86"/>
      <c r="G192" s="63">
        <f>G191-$C$191</f>
        <v>157010896</v>
      </c>
      <c r="H192" s="166"/>
      <c r="I192" s="294"/>
      <c r="J192" s="48"/>
      <c r="K192" s="48"/>
      <c r="L192" s="48"/>
      <c r="M192" s="48"/>
      <c r="Z192" s="48"/>
    </row>
    <row r="193" spans="1:26" s="80" customFormat="1" ht="13.5" thickBot="1" x14ac:dyDescent="0.25">
      <c r="A193" s="48"/>
      <c r="B193" s="52"/>
      <c r="C193" s="128"/>
      <c r="D193" s="128"/>
      <c r="E193" s="128"/>
      <c r="F193" s="128"/>
      <c r="G193" s="98">
        <f>G192/$C$191</f>
        <v>6.2337853818999762E-2</v>
      </c>
      <c r="H193" s="285"/>
      <c r="I193" s="295"/>
      <c r="J193" s="48"/>
      <c r="K193" s="48"/>
      <c r="L193" s="48"/>
      <c r="M193" s="48"/>
      <c r="Z193" s="48"/>
    </row>
    <row r="194" spans="1:26" s="80" customFormat="1" x14ac:dyDescent="0.2">
      <c r="A194" s="48"/>
      <c r="B194" s="64"/>
      <c r="C194" s="86"/>
      <c r="D194" s="86"/>
      <c r="E194" s="86"/>
      <c r="F194" s="86"/>
      <c r="G194" s="86"/>
      <c r="H194" s="166"/>
      <c r="I194" s="294"/>
      <c r="J194" s="48"/>
      <c r="K194" s="48"/>
      <c r="L194" s="48"/>
      <c r="M194" s="48"/>
      <c r="Z194" s="48"/>
    </row>
    <row r="195" spans="1:26" s="80" customFormat="1" x14ac:dyDescent="0.2">
      <c r="A195" s="48"/>
      <c r="B195" s="64"/>
      <c r="C195" s="163"/>
      <c r="D195" s="163"/>
      <c r="E195" s="163"/>
      <c r="F195" s="163"/>
      <c r="G195" s="6"/>
      <c r="H195" s="166"/>
      <c r="I195" s="294"/>
      <c r="J195" s="48"/>
      <c r="K195" s="48"/>
      <c r="L195" s="48"/>
      <c r="M195" s="48"/>
      <c r="Z195" s="48"/>
    </row>
    <row r="196" spans="1:26" s="80" customFormat="1" ht="13.5" thickBot="1" x14ac:dyDescent="0.25">
      <c r="A196" s="48"/>
      <c r="B196" s="38" t="s">
        <v>23</v>
      </c>
      <c r="C196" s="296">
        <f>C173</f>
        <v>17193246</v>
      </c>
      <c r="D196" s="296">
        <f t="shared" ref="D196:F196" si="57">D173</f>
        <v>0</v>
      </c>
      <c r="E196" s="296">
        <f t="shared" si="57"/>
        <v>0</v>
      </c>
      <c r="F196" s="296">
        <f t="shared" si="57"/>
        <v>0</v>
      </c>
      <c r="G196" s="296">
        <f>G173</f>
        <v>16846994</v>
      </c>
      <c r="H196" s="285">
        <f>(G196-C196)/C196</f>
        <v>-2.0138838239155073E-2</v>
      </c>
      <c r="I196" s="297">
        <f>G196-C196</f>
        <v>-346252</v>
      </c>
      <c r="J196" s="48"/>
      <c r="K196" s="48"/>
      <c r="L196" s="48"/>
      <c r="M196" s="48"/>
      <c r="Z196" s="48"/>
    </row>
    <row r="197" spans="1:26" x14ac:dyDescent="0.2">
      <c r="C197" s="163"/>
      <c r="D197" s="163"/>
      <c r="E197" s="163"/>
      <c r="F197" s="163"/>
      <c r="G197" s="163"/>
      <c r="H197" s="154"/>
    </row>
    <row r="198" spans="1:26" x14ac:dyDescent="0.2">
      <c r="B198" s="40" t="s">
        <v>46</v>
      </c>
      <c r="C198" s="65">
        <f>C196+C191</f>
        <v>2535901966</v>
      </c>
      <c r="D198" s="65">
        <f t="shared" ref="D198:F198" si="58">D196+D191</f>
        <v>0</v>
      </c>
      <c r="E198" s="65">
        <f t="shared" si="58"/>
        <v>0</v>
      </c>
      <c r="F198" s="65">
        <f t="shared" si="58"/>
        <v>0</v>
      </c>
      <c r="G198" s="65">
        <f>G196+G191</f>
        <v>2692566610</v>
      </c>
      <c r="H198" s="96">
        <f>(G198-C198)/C198</f>
        <v>6.1778667354051811E-2</v>
      </c>
      <c r="I198" s="65">
        <f>I196+I191</f>
        <v>156664644</v>
      </c>
    </row>
    <row r="199" spans="1:26" ht="13.5" thickBot="1" x14ac:dyDescent="0.25">
      <c r="C199" s="224"/>
      <c r="D199" s="224"/>
      <c r="E199" s="224"/>
      <c r="F199" s="224"/>
      <c r="G199" s="224"/>
      <c r="H199" s="154"/>
    </row>
    <row r="200" spans="1:26" x14ac:dyDescent="0.2">
      <c r="B200" s="45" t="s">
        <v>45</v>
      </c>
      <c r="C200" s="134">
        <f>C191/2</f>
        <v>1259354360</v>
      </c>
      <c r="D200" s="134">
        <f t="shared" ref="D200:F200" si="59">D191/2</f>
        <v>0</v>
      </c>
      <c r="E200" s="134">
        <f t="shared" si="59"/>
        <v>0</v>
      </c>
      <c r="F200" s="134">
        <f t="shared" si="59"/>
        <v>0</v>
      </c>
      <c r="G200" s="134">
        <f>G191/2</f>
        <v>1337859808</v>
      </c>
    </row>
    <row r="201" spans="1:26" x14ac:dyDescent="0.2">
      <c r="C201" s="134"/>
      <c r="D201" s="134"/>
      <c r="E201" s="134"/>
      <c r="F201" s="134"/>
      <c r="G201" s="134"/>
    </row>
    <row r="202" spans="1:26" x14ac:dyDescent="0.2">
      <c r="C202" s="134"/>
      <c r="D202" s="134"/>
      <c r="E202" s="134"/>
      <c r="F202" s="134"/>
      <c r="G202" s="134"/>
    </row>
    <row r="203" spans="1:26" ht="13.5" thickBot="1" x14ac:dyDescent="0.25"/>
    <row r="204" spans="1:26" ht="38.25" x14ac:dyDescent="0.2">
      <c r="B204" s="298" t="s">
        <v>90</v>
      </c>
      <c r="C204" s="59" t="str">
        <f>$C$6</f>
        <v>Total FY 20-21  Appropriations</v>
      </c>
      <c r="D204" s="299"/>
      <c r="E204" s="299"/>
      <c r="F204" s="299"/>
      <c r="G204" s="5" t="str">
        <f>G$6</f>
        <v>Appropriations Act FY 22-23</v>
      </c>
      <c r="H204" s="5" t="str">
        <f>H$6</f>
        <v>% Change/w FY 20-21</v>
      </c>
      <c r="I204" s="5" t="str">
        <f>I$6</f>
        <v>$ Change</v>
      </c>
    </row>
    <row r="205" spans="1:26" x14ac:dyDescent="0.2">
      <c r="B205" s="64"/>
      <c r="C205" s="163"/>
      <c r="D205" s="163"/>
      <c r="E205" s="163"/>
      <c r="F205" s="163"/>
      <c r="G205" s="6"/>
      <c r="H205" s="163"/>
      <c r="I205" s="163"/>
    </row>
    <row r="206" spans="1:26" x14ac:dyDescent="0.2">
      <c r="B206" s="41" t="s">
        <v>10</v>
      </c>
      <c r="C206" s="300">
        <f>ROUND(C184/1000000,1)</f>
        <v>1259.3</v>
      </c>
      <c r="D206" s="300"/>
      <c r="E206" s="300"/>
      <c r="F206" s="300"/>
      <c r="G206" s="300">
        <f>G184/1000000</f>
        <v>1294.8605660000001</v>
      </c>
      <c r="H206" s="166">
        <f>(G206-C206)/C206</f>
        <v>2.8238359406019303E-2</v>
      </c>
      <c r="I206" s="301">
        <f>G206-C206</f>
        <v>35.560566000000108</v>
      </c>
    </row>
    <row r="207" spans="1:26" x14ac:dyDescent="0.2">
      <c r="B207" s="41" t="s">
        <v>11</v>
      </c>
      <c r="C207" s="302">
        <f t="shared" ref="C207:C208" si="60">ROUND(C185/1000000,1)</f>
        <v>278.7</v>
      </c>
      <c r="D207" s="302"/>
      <c r="E207" s="302"/>
      <c r="F207" s="302"/>
      <c r="G207" s="302">
        <f>G185/1000000</f>
        <v>306.19586399999997</v>
      </c>
      <c r="H207" s="166">
        <f>(G207-C207)/C207</f>
        <v>9.8657567276641489E-2</v>
      </c>
      <c r="I207" s="303">
        <f>G207-C207</f>
        <v>27.495863999999983</v>
      </c>
    </row>
    <row r="208" spans="1:26" x14ac:dyDescent="0.2">
      <c r="B208" s="42" t="s">
        <v>12</v>
      </c>
      <c r="C208" s="304">
        <f t="shared" si="60"/>
        <v>84.5</v>
      </c>
      <c r="D208" s="304"/>
      <c r="E208" s="304"/>
      <c r="F208" s="304"/>
      <c r="G208" s="304">
        <f>G186/1000000</f>
        <v>96.549971999999997</v>
      </c>
      <c r="H208" s="305">
        <f>(G208-C208)/C208</f>
        <v>0.14260321893491121</v>
      </c>
      <c r="I208" s="306">
        <f>G208-C208</f>
        <v>12.049971999999997</v>
      </c>
    </row>
    <row r="209" spans="2:9" x14ac:dyDescent="0.2">
      <c r="B209" s="64" t="s">
        <v>40</v>
      </c>
      <c r="C209" s="300">
        <f>SUM(C206:C208)</f>
        <v>1622.5</v>
      </c>
      <c r="D209" s="300"/>
      <c r="E209" s="300"/>
      <c r="F209" s="300"/>
      <c r="G209" s="300">
        <f>SUM(G206:G208)</f>
        <v>1697.6064020000001</v>
      </c>
      <c r="H209" s="166">
        <f>(G209-C209)/C209</f>
        <v>4.629054052388297E-2</v>
      </c>
      <c r="I209" s="301">
        <f>SUM(I206:I208)</f>
        <v>75.106402000000088</v>
      </c>
    </row>
    <row r="210" spans="2:9" x14ac:dyDescent="0.2">
      <c r="B210" s="64"/>
      <c r="C210" s="302"/>
      <c r="D210" s="302"/>
      <c r="E210" s="302"/>
      <c r="F210" s="302"/>
      <c r="G210" s="302"/>
      <c r="H210" s="166"/>
      <c r="I210" s="303"/>
    </row>
    <row r="211" spans="2:9" x14ac:dyDescent="0.2">
      <c r="B211" s="41" t="s">
        <v>21</v>
      </c>
      <c r="C211" s="300">
        <f t="shared" ref="C211:C212" si="61">ROUND(C189/1000000,1)</f>
        <v>814.9</v>
      </c>
      <c r="D211" s="300"/>
      <c r="E211" s="300"/>
      <c r="F211" s="300"/>
      <c r="G211" s="300">
        <f>G189/1000000</f>
        <v>891.38283999999999</v>
      </c>
      <c r="H211" s="166">
        <f>(G211-C211)/C211</f>
        <v>9.3855491471346197E-2</v>
      </c>
      <c r="I211" s="303">
        <f>G211-C211</f>
        <v>76.48284000000001</v>
      </c>
    </row>
    <row r="212" spans="2:9" x14ac:dyDescent="0.2">
      <c r="B212" s="42" t="s">
        <v>14</v>
      </c>
      <c r="C212" s="304">
        <f t="shared" si="61"/>
        <v>81.3</v>
      </c>
      <c r="D212" s="304"/>
      <c r="E212" s="304"/>
      <c r="F212" s="304"/>
      <c r="G212" s="304">
        <f>G190/1000000</f>
        <v>86.730373999999998</v>
      </c>
      <c r="H212" s="166">
        <f>(G212-C212)/C212</f>
        <v>6.679426814268144E-2</v>
      </c>
      <c r="I212" s="303">
        <f>G212-C212</f>
        <v>5.4303740000000005</v>
      </c>
    </row>
    <row r="213" spans="2:9" ht="13.5" thickBot="1" x14ac:dyDescent="0.25">
      <c r="B213" s="90" t="s">
        <v>36</v>
      </c>
      <c r="C213" s="91">
        <f>SUM(C209:C212)</f>
        <v>2518.7000000000003</v>
      </c>
      <c r="D213" s="91"/>
      <c r="E213" s="91"/>
      <c r="F213" s="91"/>
      <c r="G213" s="91">
        <f>SUM(G209:G212)</f>
        <v>2675.7196160000003</v>
      </c>
      <c r="H213" s="97">
        <f>(G213-C213)/C213</f>
        <v>6.2341531742565619E-2</v>
      </c>
      <c r="I213" s="92">
        <f>SUM(I209:I212)</f>
        <v>157.0196160000001</v>
      </c>
    </row>
    <row r="214" spans="2:9" x14ac:dyDescent="0.2">
      <c r="B214" s="307"/>
      <c r="C214" s="302"/>
      <c r="D214" s="302"/>
      <c r="E214" s="302"/>
      <c r="F214" s="302"/>
      <c r="G214" s="302"/>
      <c r="H214" s="166"/>
      <c r="I214" s="303"/>
    </row>
    <row r="215" spans="2:9" x14ac:dyDescent="0.2">
      <c r="B215" s="26" t="s">
        <v>23</v>
      </c>
      <c r="C215" s="308">
        <f>C196/1000000</f>
        <v>17.193245999999998</v>
      </c>
      <c r="D215" s="308"/>
      <c r="E215" s="308"/>
      <c r="F215" s="308"/>
      <c r="G215" s="308">
        <f>G196/1000000</f>
        <v>16.846993999999999</v>
      </c>
      <c r="H215" s="309">
        <f>(G215-C215)/C215</f>
        <v>-2.0138838239155063E-2</v>
      </c>
      <c r="I215" s="310">
        <f>G215-C215</f>
        <v>-0.34625199999999978</v>
      </c>
    </row>
    <row r="216" spans="2:9" x14ac:dyDescent="0.2">
      <c r="B216" s="307"/>
      <c r="C216" s="300"/>
      <c r="D216" s="300"/>
      <c r="E216" s="300"/>
      <c r="F216" s="300"/>
      <c r="G216" s="300"/>
      <c r="H216" s="166"/>
      <c r="I216" s="301"/>
    </row>
    <row r="217" spans="2:9" x14ac:dyDescent="0.2">
      <c r="B217" s="66" t="s">
        <v>47</v>
      </c>
      <c r="C217" s="308">
        <f>C213+C215</f>
        <v>2535.8932460000001</v>
      </c>
      <c r="D217" s="308"/>
      <c r="E217" s="308"/>
      <c r="F217" s="308"/>
      <c r="G217" s="308">
        <f>G213+G215</f>
        <v>2692.5666100000003</v>
      </c>
      <c r="H217" s="305">
        <f>(G217-C217)/C217</f>
        <v>6.1782318418620141E-2</v>
      </c>
      <c r="I217" s="310">
        <f>I213+I215</f>
        <v>156.67336400000011</v>
      </c>
    </row>
    <row r="220" spans="2:9" s="163" customFormat="1" x14ac:dyDescent="0.2">
      <c r="B220" s="129"/>
      <c r="C220" s="162"/>
      <c r="G220" s="162"/>
    </row>
    <row r="221" spans="2:9" s="163" customFormat="1" x14ac:dyDescent="0.2">
      <c r="B221" s="129"/>
      <c r="G221" s="6"/>
    </row>
    <row r="222" spans="2:9" s="163" customFormat="1" x14ac:dyDescent="0.2">
      <c r="B222" s="129"/>
      <c r="C222" s="162"/>
      <c r="G222" s="130"/>
      <c r="H222" s="196"/>
      <c r="I222" s="311"/>
    </row>
    <row r="223" spans="2:9" s="163" customFormat="1" x14ac:dyDescent="0.2">
      <c r="B223" s="129"/>
      <c r="C223" s="77"/>
      <c r="D223" s="77"/>
      <c r="E223" s="77"/>
      <c r="F223" s="77"/>
      <c r="G223" s="131"/>
    </row>
    <row r="224" spans="2:9" s="163" customFormat="1" x14ac:dyDescent="0.2">
      <c r="B224" s="129"/>
      <c r="C224" s="77"/>
      <c r="D224" s="77"/>
      <c r="E224" s="77"/>
      <c r="F224" s="77"/>
      <c r="G224" s="77"/>
    </row>
    <row r="225" spans="1:26" s="163" customFormat="1" x14ac:dyDescent="0.2">
      <c r="B225" s="129"/>
      <c r="C225" s="77"/>
      <c r="D225" s="77"/>
      <c r="E225" s="77"/>
      <c r="F225" s="77"/>
      <c r="G225" s="131"/>
    </row>
    <row r="226" spans="1:26" s="163" customFormat="1" x14ac:dyDescent="0.2">
      <c r="B226" s="129"/>
      <c r="C226" s="77"/>
      <c r="G226" s="77"/>
    </row>
    <row r="227" spans="1:26" s="3" customFormat="1" x14ac:dyDescent="0.2">
      <c r="A227" s="48"/>
      <c r="C227" s="48"/>
      <c r="D227" s="48"/>
      <c r="E227" s="48"/>
      <c r="F227" s="48"/>
      <c r="H227" s="48"/>
      <c r="I227" s="48"/>
      <c r="J227" s="48"/>
      <c r="K227" s="48"/>
      <c r="L227" s="48"/>
      <c r="M227" s="48"/>
      <c r="Z227" s="48"/>
    </row>
    <row r="228" spans="1:26" s="3" customFormat="1" x14ac:dyDescent="0.2">
      <c r="A228" s="48"/>
      <c r="B228" s="118" t="s">
        <v>49</v>
      </c>
      <c r="C228" s="74"/>
      <c r="D228" s="48"/>
      <c r="E228" s="48"/>
      <c r="F228" s="48"/>
      <c r="G228" s="74"/>
      <c r="H228" s="48"/>
      <c r="I228" s="48"/>
      <c r="J228" s="48"/>
      <c r="K228" s="48"/>
      <c r="L228" s="48"/>
      <c r="M228" s="48"/>
      <c r="Z228" s="48"/>
    </row>
    <row r="229" spans="1:26" s="3" customFormat="1" x14ac:dyDescent="0.2">
      <c r="A229" s="48"/>
      <c r="B229" s="119" t="s">
        <v>50</v>
      </c>
      <c r="C229" s="31"/>
      <c r="D229" s="48"/>
      <c r="E229" s="48"/>
      <c r="F229" s="48"/>
      <c r="G229" s="31">
        <f>G25</f>
        <v>29531.11</v>
      </c>
      <c r="H229" s="48"/>
      <c r="I229" s="48"/>
      <c r="J229" s="48"/>
      <c r="K229" s="48"/>
      <c r="L229" s="48"/>
      <c r="M229" s="48"/>
      <c r="Z229" s="48"/>
    </row>
    <row r="230" spans="1:26" s="3" customFormat="1" x14ac:dyDescent="0.2">
      <c r="A230" s="48"/>
      <c r="B230" s="120" t="s">
        <v>85</v>
      </c>
      <c r="C230" s="31"/>
      <c r="D230" s="48"/>
      <c r="E230" s="48"/>
      <c r="F230" s="48"/>
      <c r="G230" s="123">
        <f>G48</f>
        <v>24942057</v>
      </c>
      <c r="H230" s="48"/>
      <c r="I230" s="48"/>
      <c r="J230" s="48"/>
      <c r="K230" s="48"/>
      <c r="L230" s="48"/>
      <c r="M230" s="48"/>
      <c r="Z230" s="48"/>
    </row>
    <row r="231" spans="1:26" s="3" customFormat="1" x14ac:dyDescent="0.2">
      <c r="A231" s="48"/>
      <c r="B231" s="119" t="s">
        <v>51</v>
      </c>
      <c r="C231" s="31"/>
      <c r="D231" s="48"/>
      <c r="E231" s="48"/>
      <c r="F231" s="48"/>
      <c r="G231" s="74">
        <f>G74/1000000</f>
        <v>2562.8539209999999</v>
      </c>
      <c r="H231" s="48"/>
      <c r="I231" s="48"/>
      <c r="J231" s="48"/>
      <c r="K231" s="48"/>
      <c r="L231" s="48"/>
      <c r="M231" s="48"/>
      <c r="Z231" s="48"/>
    </row>
    <row r="232" spans="1:26" s="3" customFormat="1" x14ac:dyDescent="0.2">
      <c r="A232" s="48"/>
      <c r="B232" s="119" t="s">
        <v>21</v>
      </c>
      <c r="C232" s="31"/>
      <c r="D232" s="48"/>
      <c r="E232" s="48"/>
      <c r="F232" s="48"/>
      <c r="G232" s="31"/>
      <c r="H232" s="48"/>
      <c r="I232" s="48"/>
      <c r="J232" s="48"/>
      <c r="K232" s="48"/>
      <c r="L232" s="48"/>
      <c r="M232" s="48"/>
      <c r="Z232" s="48"/>
    </row>
    <row r="233" spans="1:26" s="3" customFormat="1" x14ac:dyDescent="0.2">
      <c r="A233" s="48"/>
      <c r="B233" s="119" t="s">
        <v>86</v>
      </c>
      <c r="C233" s="31"/>
      <c r="D233" s="48"/>
      <c r="E233" s="48"/>
      <c r="F233" s="48"/>
      <c r="G233" s="31">
        <f>G144</f>
        <v>8675</v>
      </c>
      <c r="H233" s="48"/>
      <c r="I233" s="48"/>
      <c r="J233" s="48"/>
      <c r="K233" s="48"/>
      <c r="L233" s="48"/>
      <c r="M233" s="48"/>
      <c r="Z233" s="48"/>
    </row>
    <row r="234" spans="1:26" s="3" customFormat="1" x14ac:dyDescent="0.2">
      <c r="A234" s="48"/>
      <c r="B234" s="118" t="s">
        <v>52</v>
      </c>
      <c r="C234" s="31"/>
      <c r="D234" s="48"/>
      <c r="E234" s="48"/>
      <c r="F234" s="48"/>
      <c r="G234" s="31"/>
      <c r="H234" s="48"/>
      <c r="I234" s="48"/>
      <c r="J234" s="48"/>
      <c r="K234" s="48"/>
      <c r="L234" s="48"/>
      <c r="M234" s="48"/>
      <c r="Z234" s="48"/>
    </row>
    <row r="235" spans="1:26" s="3" customFormat="1" x14ac:dyDescent="0.2">
      <c r="A235" s="48"/>
      <c r="B235" s="120" t="s">
        <v>48</v>
      </c>
      <c r="C235" s="31"/>
      <c r="D235" s="48"/>
      <c r="E235" s="48"/>
      <c r="F235" s="48"/>
      <c r="G235" s="31">
        <f>G24</f>
        <v>9621.6635067952921</v>
      </c>
      <c r="H235" s="48"/>
      <c r="I235" s="48"/>
      <c r="J235" s="48"/>
      <c r="K235" s="48"/>
      <c r="L235" s="48"/>
      <c r="M235" s="48"/>
      <c r="Z235" s="48"/>
    </row>
    <row r="236" spans="1:26" s="3" customFormat="1" x14ac:dyDescent="0.2">
      <c r="A236" s="48"/>
      <c r="B236" s="120" t="s">
        <v>89</v>
      </c>
      <c r="C236" s="31"/>
      <c r="D236" s="48"/>
      <c r="E236" s="48"/>
      <c r="F236" s="48"/>
      <c r="G236" s="124">
        <f>G49</f>
        <v>6.1381437797919718</v>
      </c>
      <c r="H236" s="48"/>
      <c r="I236" s="48"/>
      <c r="J236" s="48"/>
      <c r="K236" s="48"/>
      <c r="L236" s="48"/>
      <c r="M236" s="48"/>
      <c r="Z236" s="48"/>
    </row>
    <row r="237" spans="1:26" s="3" customFormat="1" x14ac:dyDescent="0.2">
      <c r="A237" s="48"/>
      <c r="B237" s="120" t="s">
        <v>12</v>
      </c>
      <c r="C237" s="48"/>
      <c r="D237" s="48"/>
      <c r="E237" s="48"/>
      <c r="F237" s="48"/>
      <c r="G237" s="125">
        <f>G75</f>
        <v>1.167155243470569E-2</v>
      </c>
      <c r="H237" s="48"/>
      <c r="I237" s="48"/>
      <c r="J237" s="48"/>
      <c r="K237" s="48"/>
      <c r="L237" s="48"/>
      <c r="M237" s="48"/>
      <c r="Z237" s="48"/>
    </row>
    <row r="238" spans="1:26" s="3" customFormat="1" x14ac:dyDescent="0.2">
      <c r="A238" s="48"/>
      <c r="B238" s="120" t="s">
        <v>21</v>
      </c>
      <c r="C238" s="48"/>
      <c r="D238" s="48"/>
      <c r="E238" s="48"/>
      <c r="F238" s="48"/>
      <c r="H238" s="48"/>
      <c r="I238" s="48"/>
      <c r="J238" s="48"/>
      <c r="K238" s="48"/>
      <c r="L238" s="48"/>
      <c r="M238" s="48"/>
      <c r="Z238" s="48"/>
    </row>
    <row r="239" spans="1:26" s="3" customFormat="1" ht="13.5" thickBot="1" x14ac:dyDescent="0.25">
      <c r="A239" s="48"/>
      <c r="B239" s="121" t="s">
        <v>14</v>
      </c>
      <c r="C239" s="48"/>
      <c r="D239" s="48"/>
      <c r="E239" s="48"/>
      <c r="F239" s="48"/>
      <c r="G239" s="74">
        <f>G148</f>
        <v>5970</v>
      </c>
      <c r="H239" s="48"/>
      <c r="I239" s="48"/>
      <c r="J239" s="48"/>
      <c r="K239" s="48"/>
      <c r="L239" s="48"/>
      <c r="M239" s="48"/>
      <c r="Z239" s="48"/>
    </row>
    <row r="240" spans="1:26" s="3" customFormat="1" x14ac:dyDescent="0.2">
      <c r="A240" s="48"/>
      <c r="B240" s="122"/>
      <c r="C240" s="48"/>
      <c r="D240" s="48"/>
      <c r="E240" s="48"/>
      <c r="F240" s="48"/>
      <c r="H240" s="48"/>
      <c r="I240" s="48"/>
      <c r="J240" s="48"/>
      <c r="K240" s="48"/>
      <c r="L240" s="48"/>
      <c r="M240" s="48"/>
      <c r="Z240" s="48"/>
    </row>
    <row r="241" spans="1:26" s="3" customFormat="1" x14ac:dyDescent="0.2">
      <c r="A241" s="48"/>
      <c r="B241" s="56"/>
      <c r="C241" s="48"/>
      <c r="D241" s="48"/>
      <c r="E241" s="48"/>
      <c r="F241" s="48"/>
      <c r="H241" s="48"/>
      <c r="I241" s="48"/>
      <c r="J241" s="48"/>
      <c r="K241" s="48"/>
      <c r="L241" s="48"/>
      <c r="M241" s="48"/>
      <c r="Z241" s="48"/>
    </row>
    <row r="242" spans="1:26" s="3" customFormat="1" x14ac:dyDescent="0.2">
      <c r="A242" s="48"/>
      <c r="B242" s="56"/>
      <c r="C242" s="48"/>
      <c r="D242" s="48"/>
      <c r="E242" s="48"/>
      <c r="F242" s="48"/>
      <c r="H242" s="48"/>
      <c r="I242" s="48"/>
      <c r="J242" s="48"/>
      <c r="K242" s="48"/>
      <c r="L242" s="48"/>
      <c r="M242" s="48"/>
      <c r="Z242" s="48"/>
    </row>
    <row r="243" spans="1:26" s="3" customFormat="1" x14ac:dyDescent="0.2">
      <c r="A243" s="48"/>
      <c r="B243" s="56"/>
      <c r="C243" s="48"/>
      <c r="D243" s="48"/>
      <c r="E243" s="48"/>
      <c r="F243" s="48"/>
      <c r="H243" s="48"/>
      <c r="I243" s="48"/>
      <c r="J243" s="48"/>
      <c r="K243" s="48"/>
      <c r="L243" s="48"/>
      <c r="M243" s="48"/>
      <c r="Z243" s="48"/>
    </row>
    <row r="244" spans="1:26" s="3" customFormat="1" x14ac:dyDescent="0.2">
      <c r="A244" s="48"/>
      <c r="B244" s="56"/>
      <c r="C244" s="48"/>
      <c r="D244" s="48"/>
      <c r="E244" s="48"/>
      <c r="F244" s="48"/>
      <c r="H244" s="48"/>
      <c r="I244" s="48"/>
      <c r="J244" s="48"/>
      <c r="K244" s="48"/>
      <c r="L244" s="48"/>
      <c r="M244" s="48"/>
      <c r="Z244" s="48"/>
    </row>
    <row r="245" spans="1:26" s="3" customFormat="1" x14ac:dyDescent="0.2">
      <c r="A245" s="48"/>
      <c r="B245" s="56"/>
      <c r="C245" s="48"/>
      <c r="D245" s="48"/>
      <c r="E245" s="48"/>
      <c r="F245" s="48"/>
      <c r="H245" s="48"/>
      <c r="I245" s="48"/>
      <c r="J245" s="48"/>
      <c r="K245" s="48"/>
      <c r="L245" s="48"/>
      <c r="M245" s="48"/>
      <c r="Z245" s="48"/>
    </row>
    <row r="246" spans="1:26" s="3" customFormat="1" x14ac:dyDescent="0.2">
      <c r="A246" s="48"/>
      <c r="B246" s="56"/>
      <c r="C246" s="48"/>
      <c r="D246" s="48"/>
      <c r="E246" s="48"/>
      <c r="F246" s="48"/>
      <c r="H246" s="48"/>
      <c r="I246" s="48"/>
      <c r="J246" s="48"/>
      <c r="K246" s="48"/>
      <c r="L246" s="48"/>
      <c r="M246" s="48"/>
      <c r="Z246" s="48"/>
    </row>
    <row r="247" spans="1:26" s="3" customFormat="1" x14ac:dyDescent="0.2">
      <c r="A247" s="48"/>
      <c r="B247" s="56"/>
      <c r="C247" s="48"/>
      <c r="D247" s="48"/>
      <c r="E247" s="48"/>
      <c r="F247" s="48"/>
      <c r="H247" s="48"/>
      <c r="I247" s="48"/>
      <c r="J247" s="48"/>
      <c r="K247" s="48"/>
      <c r="L247" s="48"/>
      <c r="M247" s="48"/>
      <c r="Z247" s="48"/>
    </row>
    <row r="248" spans="1:26" s="3" customFormat="1" x14ac:dyDescent="0.2">
      <c r="A248" s="48"/>
      <c r="B248" s="56"/>
      <c r="C248" s="48"/>
      <c r="D248" s="48"/>
      <c r="E248" s="48"/>
      <c r="F248" s="48"/>
      <c r="H248" s="48"/>
      <c r="I248" s="48"/>
      <c r="J248" s="48"/>
      <c r="K248" s="48"/>
      <c r="L248" s="48"/>
      <c r="M248" s="48"/>
      <c r="Z248" s="48"/>
    </row>
    <row r="249" spans="1:26" s="3" customFormat="1" x14ac:dyDescent="0.2">
      <c r="A249" s="48"/>
      <c r="B249" s="56"/>
      <c r="C249" s="48"/>
      <c r="D249" s="48"/>
      <c r="E249" s="48"/>
      <c r="F249" s="48"/>
      <c r="H249" s="48"/>
      <c r="I249" s="48"/>
      <c r="J249" s="48"/>
      <c r="K249" s="48"/>
      <c r="L249" s="48"/>
      <c r="M249" s="48"/>
      <c r="Z249" s="48"/>
    </row>
    <row r="250" spans="1:26" s="3" customFormat="1" x14ac:dyDescent="0.2">
      <c r="A250" s="48"/>
      <c r="B250" s="56"/>
      <c r="C250" s="48"/>
      <c r="D250" s="48"/>
      <c r="E250" s="48"/>
      <c r="F250" s="48"/>
      <c r="H250" s="48"/>
      <c r="I250" s="48"/>
      <c r="J250" s="48"/>
      <c r="K250" s="48"/>
      <c r="L250" s="48"/>
      <c r="M250" s="48"/>
      <c r="Z250" s="48"/>
    </row>
    <row r="251" spans="1:26" s="3" customFormat="1" x14ac:dyDescent="0.2">
      <c r="A251" s="48"/>
      <c r="B251" s="56"/>
      <c r="C251" s="48"/>
      <c r="D251" s="48"/>
      <c r="E251" s="48"/>
      <c r="F251" s="48"/>
      <c r="H251" s="48"/>
      <c r="I251" s="48"/>
      <c r="J251" s="48"/>
      <c r="K251" s="48"/>
      <c r="L251" s="48"/>
      <c r="M251" s="48"/>
      <c r="Z251" s="48"/>
    </row>
    <row r="252" spans="1:26" s="3" customFormat="1" x14ac:dyDescent="0.2">
      <c r="A252" s="48"/>
      <c r="B252" s="56"/>
      <c r="C252" s="48"/>
      <c r="D252" s="48"/>
      <c r="E252" s="48"/>
      <c r="F252" s="48"/>
      <c r="H252" s="48"/>
      <c r="I252" s="48"/>
      <c r="J252" s="48"/>
      <c r="K252" s="48"/>
      <c r="L252" s="48"/>
      <c r="M252" s="48"/>
      <c r="Z252" s="48"/>
    </row>
    <row r="253" spans="1:26" s="3" customFormat="1" x14ac:dyDescent="0.2">
      <c r="A253" s="48"/>
      <c r="B253" s="2"/>
      <c r="C253" s="48"/>
      <c r="D253" s="48"/>
      <c r="E253" s="48"/>
      <c r="F253" s="48"/>
      <c r="H253" s="48"/>
      <c r="I253" s="48"/>
      <c r="J253" s="48"/>
      <c r="K253" s="48"/>
      <c r="L253" s="48"/>
      <c r="M253" s="48"/>
      <c r="Z253" s="48"/>
    </row>
    <row r="265" spans="2:7" x14ac:dyDescent="0.2">
      <c r="B265" s="41" t="s">
        <v>10</v>
      </c>
      <c r="C265" s="162">
        <v>1083996524</v>
      </c>
      <c r="D265" s="162">
        <v>0</v>
      </c>
      <c r="E265" s="162">
        <v>0</v>
      </c>
      <c r="F265" s="162">
        <v>0</v>
      </c>
      <c r="G265" s="162">
        <v>1339208384</v>
      </c>
    </row>
    <row r="266" spans="2:7" x14ac:dyDescent="0.2">
      <c r="B266" s="41"/>
      <c r="C266" s="162"/>
      <c r="D266" s="162"/>
      <c r="E266" s="162"/>
      <c r="F266" s="162"/>
      <c r="G266" s="162"/>
    </row>
    <row r="267" spans="2:7" x14ac:dyDescent="0.2">
      <c r="B267" s="41" t="s">
        <v>11</v>
      </c>
      <c r="C267" s="77">
        <v>248358584</v>
      </c>
      <c r="D267" s="77">
        <v>0</v>
      </c>
      <c r="E267" s="77">
        <v>0</v>
      </c>
      <c r="F267" s="77">
        <v>0</v>
      </c>
      <c r="G267" s="77">
        <v>378370788</v>
      </c>
    </row>
    <row r="268" spans="2:7" x14ac:dyDescent="0.2">
      <c r="B268" s="41"/>
      <c r="C268" s="77"/>
      <c r="D268" s="77"/>
      <c r="E268" s="77"/>
      <c r="F268" s="77"/>
      <c r="G268" s="77"/>
    </row>
    <row r="269" spans="2:7" x14ac:dyDescent="0.2">
      <c r="B269" s="41" t="s">
        <v>12</v>
      </c>
      <c r="C269" s="290">
        <v>68683342</v>
      </c>
      <c r="D269" s="290">
        <v>0</v>
      </c>
      <c r="E269" s="290">
        <v>0</v>
      </c>
      <c r="F269" s="290">
        <v>0</v>
      </c>
      <c r="G269" s="290">
        <v>111612158</v>
      </c>
    </row>
    <row r="270" spans="2:7" x14ac:dyDescent="0.2">
      <c r="B270" s="291" t="s">
        <v>37</v>
      </c>
      <c r="C270" s="292">
        <v>1401038450</v>
      </c>
      <c r="D270" s="292">
        <v>0</v>
      </c>
      <c r="E270" s="292">
        <v>0</v>
      </c>
      <c r="F270" s="292">
        <v>0</v>
      </c>
      <c r="G270" s="292">
        <v>1817295128</v>
      </c>
    </row>
    <row r="271" spans="2:7" x14ac:dyDescent="0.2">
      <c r="B271" s="64"/>
      <c r="C271" s="163"/>
      <c r="D271" s="163"/>
      <c r="E271" s="163"/>
      <c r="F271" s="163"/>
      <c r="G271" s="6"/>
    </row>
    <row r="272" spans="2:7" x14ac:dyDescent="0.2">
      <c r="B272" s="41" t="s">
        <v>21</v>
      </c>
      <c r="C272" s="162">
        <v>302091028</v>
      </c>
      <c r="D272" s="162">
        <v>0</v>
      </c>
      <c r="E272" s="162">
        <v>0</v>
      </c>
      <c r="F272" s="162">
        <v>0</v>
      </c>
      <c r="G272" s="162">
        <v>373214146</v>
      </c>
    </row>
    <row r="273" spans="2:7" x14ac:dyDescent="0.2">
      <c r="B273" s="41"/>
      <c r="C273" s="162"/>
      <c r="D273" s="162"/>
      <c r="E273" s="162"/>
      <c r="F273" s="162"/>
      <c r="G273" s="162"/>
    </row>
    <row r="274" spans="2:7" x14ac:dyDescent="0.2">
      <c r="B274" s="41" t="s">
        <v>14</v>
      </c>
      <c r="C274" s="290">
        <v>53738760</v>
      </c>
      <c r="D274" s="290">
        <v>0</v>
      </c>
      <c r="E274" s="290">
        <v>0</v>
      </c>
      <c r="F274" s="290">
        <v>0</v>
      </c>
      <c r="G274" s="290">
        <v>70161152</v>
      </c>
    </row>
    <row r="275" spans="2:7" ht="13.5" thickBot="1" x14ac:dyDescent="0.25">
      <c r="B275" s="40" t="s">
        <v>36</v>
      </c>
      <c r="C275" s="70">
        <v>1756868238</v>
      </c>
      <c r="D275" s="70">
        <v>0</v>
      </c>
      <c r="E275" s="70">
        <v>0</v>
      </c>
      <c r="F275" s="70">
        <v>0</v>
      </c>
      <c r="G275" s="70">
        <v>2223322496</v>
      </c>
    </row>
    <row r="276" spans="2:7" ht="13.5" thickTop="1" x14ac:dyDescent="0.2">
      <c r="B276" s="64"/>
      <c r="C276" s="86"/>
      <c r="D276" s="86"/>
      <c r="E276" s="86"/>
      <c r="F276" s="86"/>
      <c r="G276" s="63">
        <v>466454258</v>
      </c>
    </row>
    <row r="277" spans="2:7" ht="13.5" thickBot="1" x14ac:dyDescent="0.25">
      <c r="B277" s="52"/>
      <c r="C277" s="128"/>
      <c r="D277" s="128"/>
      <c r="E277" s="128"/>
      <c r="F277" s="128"/>
      <c r="G277" s="68">
        <v>0.26550326763890192</v>
      </c>
    </row>
    <row r="291" spans="1:9" ht="38.25" x14ac:dyDescent="0.2">
      <c r="B291" s="44" t="s">
        <v>21</v>
      </c>
      <c r="C291" s="59" t="str">
        <f>$C$6</f>
        <v>Total FY 20-21  Appropriations</v>
      </c>
      <c r="D291" s="59"/>
      <c r="E291" s="59"/>
      <c r="F291" s="59"/>
      <c r="G291" s="5" t="str">
        <f>G$6</f>
        <v>Appropriations Act FY 22-23</v>
      </c>
      <c r="H291" s="5" t="str">
        <f>H$6</f>
        <v>% Change/w FY 20-21</v>
      </c>
      <c r="I291" s="5" t="str">
        <f>I$6</f>
        <v>$ Change</v>
      </c>
    </row>
    <row r="292" spans="1:9" x14ac:dyDescent="0.2">
      <c r="A292" s="48">
        <v>1</v>
      </c>
      <c r="B292" s="240" t="s">
        <v>8</v>
      </c>
      <c r="C292" s="36">
        <v>114849890</v>
      </c>
      <c r="D292" s="72"/>
      <c r="E292" s="106" t="s">
        <v>81</v>
      </c>
      <c r="F292" s="104"/>
      <c r="G292" s="10">
        <f>C292+(C292*0.05)</f>
        <v>120592384.5</v>
      </c>
      <c r="H292" s="141">
        <f t="shared" ref="H292:H295" si="62">(G292-C292)/C292</f>
        <v>0.05</v>
      </c>
      <c r="I292" s="241">
        <f>G292-C292</f>
        <v>5742494.5</v>
      </c>
    </row>
    <row r="293" spans="1:9" x14ac:dyDescent="0.2">
      <c r="A293" s="48">
        <v>2</v>
      </c>
      <c r="B293" s="243" t="s">
        <v>3</v>
      </c>
      <c r="C293" s="37">
        <v>306081806</v>
      </c>
      <c r="D293" s="72"/>
      <c r="E293" s="107" t="s">
        <v>80</v>
      </c>
      <c r="F293" s="104"/>
      <c r="G293" s="10">
        <f>C293+(C293*$H$25)</f>
        <v>318655660.54044795</v>
      </c>
      <c r="H293" s="141">
        <f t="shared" si="62"/>
        <v>4.1080045575946286E-2</v>
      </c>
      <c r="I293" s="244">
        <f t="shared" ref="I293:I295" si="63">G293-C293</f>
        <v>12573854.54044795</v>
      </c>
    </row>
    <row r="294" spans="1:9" x14ac:dyDescent="0.2">
      <c r="A294" s="48">
        <v>3</v>
      </c>
      <c r="B294" s="243" t="s">
        <v>4</v>
      </c>
      <c r="C294" s="37">
        <v>25476160</v>
      </c>
      <c r="D294" s="72"/>
      <c r="E294" s="107" t="s">
        <v>81</v>
      </c>
      <c r="F294" s="104"/>
      <c r="G294" s="10">
        <f t="shared" ref="G294:G295" si="64">C294+(C294*0.05)</f>
        <v>26749968</v>
      </c>
      <c r="H294" s="141">
        <f t="shared" si="62"/>
        <v>0.05</v>
      </c>
      <c r="I294" s="244">
        <f t="shared" si="63"/>
        <v>1273808</v>
      </c>
    </row>
    <row r="295" spans="1:9" x14ac:dyDescent="0.2">
      <c r="A295" s="48">
        <v>4</v>
      </c>
      <c r="B295" s="243" t="s">
        <v>6</v>
      </c>
      <c r="C295" s="37">
        <v>25448000</v>
      </c>
      <c r="D295" s="72"/>
      <c r="E295" s="107" t="s">
        <v>81</v>
      </c>
      <c r="F295" s="104"/>
      <c r="G295" s="10">
        <f t="shared" si="64"/>
        <v>26720400</v>
      </c>
      <c r="H295" s="141">
        <f t="shared" si="62"/>
        <v>0.05</v>
      </c>
      <c r="I295" s="244">
        <f t="shared" si="63"/>
        <v>1272400</v>
      </c>
    </row>
    <row r="296" spans="1:9" x14ac:dyDescent="0.2">
      <c r="A296" s="48">
        <v>5</v>
      </c>
      <c r="B296" s="243" t="s">
        <v>33</v>
      </c>
      <c r="C296" s="37">
        <v>280815980</v>
      </c>
      <c r="D296" s="72"/>
      <c r="E296" s="107" t="s">
        <v>80</v>
      </c>
      <c r="F296" s="104"/>
      <c r="G296" s="10">
        <f>C296+(C296*$H$25)</f>
        <v>292351913.256854</v>
      </c>
      <c r="H296" s="141">
        <f>(G296-C296)/C296</f>
        <v>4.1080045575946203E-2</v>
      </c>
      <c r="I296" s="244">
        <f>G296-C296</f>
        <v>11535933.256853998</v>
      </c>
    </row>
    <row r="297" spans="1:9" x14ac:dyDescent="0.2">
      <c r="A297" s="48">
        <v>6</v>
      </c>
      <c r="B297" s="247" t="s">
        <v>5</v>
      </c>
      <c r="C297" s="37">
        <v>62181804</v>
      </c>
      <c r="D297" s="73"/>
      <c r="E297" s="108" t="s">
        <v>80</v>
      </c>
      <c r="F297" s="105"/>
      <c r="G297" s="10">
        <f>C297+(C297*$H$25)</f>
        <v>64736235.342314556</v>
      </c>
      <c r="H297" s="141">
        <f>(G297-C297)/C297</f>
        <v>4.1080045575946238E-2</v>
      </c>
      <c r="I297" s="248">
        <f>G297-C297</f>
        <v>2554431.3423145562</v>
      </c>
    </row>
    <row r="298" spans="1:9" ht="25.5" x14ac:dyDescent="0.2">
      <c r="B298" s="55" t="s">
        <v>16</v>
      </c>
      <c r="C298" s="249">
        <f>SUM(C292:C297)</f>
        <v>814853640</v>
      </c>
      <c r="D298" s="250"/>
      <c r="E298" s="251"/>
      <c r="F298" s="251"/>
      <c r="G298" s="19">
        <f>SUM(G292:G297)</f>
        <v>849806561.63961661</v>
      </c>
      <c r="H298" s="235">
        <f>(G298-C298)/C298</f>
        <v>4.2894723572219191E-2</v>
      </c>
      <c r="I298" s="248">
        <f>G298-C298</f>
        <v>34952921.639616609</v>
      </c>
    </row>
    <row r="302" spans="1:9" ht="38.25" x14ac:dyDescent="0.2">
      <c r="B302" s="44" t="s">
        <v>21</v>
      </c>
      <c r="C302" s="59" t="str">
        <f>$C$6</f>
        <v>Total FY 20-21  Appropriations</v>
      </c>
      <c r="D302" s="59"/>
      <c r="E302" s="59"/>
      <c r="F302" s="59"/>
      <c r="G302" s="5" t="str">
        <f>G$6</f>
        <v>Appropriations Act FY 22-23</v>
      </c>
      <c r="H302" s="5" t="str">
        <f>H$6</f>
        <v>% Change/w FY 20-21</v>
      </c>
      <c r="I302" s="5" t="str">
        <f>I$6</f>
        <v>$ Change</v>
      </c>
    </row>
    <row r="303" spans="1:9" x14ac:dyDescent="0.2">
      <c r="A303" s="48">
        <v>1</v>
      </c>
      <c r="B303" s="240" t="s">
        <v>8</v>
      </c>
      <c r="C303" s="36">
        <v>114849890</v>
      </c>
      <c r="D303" s="72"/>
      <c r="E303" s="106" t="s">
        <v>81</v>
      </c>
      <c r="F303" s="104"/>
      <c r="G303" s="13">
        <f>C303+(C303*0.05)</f>
        <v>120592384.5</v>
      </c>
      <c r="H303" s="141">
        <f t="shared" ref="H303:H306" si="65">(G303-C303)/C303</f>
        <v>0.05</v>
      </c>
      <c r="I303" s="241">
        <f>G303-C303</f>
        <v>5742494.5</v>
      </c>
    </row>
    <row r="304" spans="1:9" x14ac:dyDescent="0.2">
      <c r="A304" s="48">
        <v>2</v>
      </c>
      <c r="B304" s="243" t="s">
        <v>3</v>
      </c>
      <c r="C304" s="37">
        <v>306081806</v>
      </c>
      <c r="D304" s="72"/>
      <c r="E304" s="107" t="s">
        <v>80</v>
      </c>
      <c r="F304" s="104"/>
      <c r="G304" s="10">
        <f>C304+(C304*$H$25)</f>
        <v>318655660.54044795</v>
      </c>
      <c r="H304" s="141">
        <f t="shared" si="65"/>
        <v>4.1080045575946286E-2</v>
      </c>
      <c r="I304" s="244">
        <f t="shared" ref="I304:I306" si="66">G304-C304</f>
        <v>12573854.54044795</v>
      </c>
    </row>
    <row r="305" spans="1:9" x14ac:dyDescent="0.2">
      <c r="A305" s="48">
        <v>3</v>
      </c>
      <c r="B305" s="243" t="s">
        <v>4</v>
      </c>
      <c r="C305" s="37">
        <v>25476160</v>
      </c>
      <c r="D305" s="72"/>
      <c r="E305" s="107" t="s">
        <v>81</v>
      </c>
      <c r="F305" s="104"/>
      <c r="G305" s="10">
        <f t="shared" ref="G305:G306" si="67">C305+(C305*0.05)</f>
        <v>26749968</v>
      </c>
      <c r="H305" s="141">
        <f t="shared" si="65"/>
        <v>0.05</v>
      </c>
      <c r="I305" s="244">
        <f t="shared" si="66"/>
        <v>1273808</v>
      </c>
    </row>
    <row r="306" spans="1:9" x14ac:dyDescent="0.2">
      <c r="A306" s="48">
        <v>4</v>
      </c>
      <c r="B306" s="243" t="s">
        <v>6</v>
      </c>
      <c r="C306" s="37">
        <v>25448000</v>
      </c>
      <c r="D306" s="72"/>
      <c r="E306" s="107" t="s">
        <v>81</v>
      </c>
      <c r="F306" s="104"/>
      <c r="G306" s="10">
        <f t="shared" si="67"/>
        <v>26720400</v>
      </c>
      <c r="H306" s="141">
        <f t="shared" si="65"/>
        <v>0.05</v>
      </c>
      <c r="I306" s="312">
        <f t="shared" si="66"/>
        <v>1272400</v>
      </c>
    </row>
    <row r="307" spans="1:9" ht="25.5" x14ac:dyDescent="0.2">
      <c r="B307" s="55" t="s">
        <v>83</v>
      </c>
      <c r="C307" s="249">
        <f>SUM(C303:C306)</f>
        <v>471855856</v>
      </c>
      <c r="D307" s="250"/>
      <c r="E307" s="251"/>
      <c r="F307" s="251"/>
      <c r="G307" s="19">
        <f>SUM(G303:G306)</f>
        <v>492718413.04044795</v>
      </c>
      <c r="H307" s="235">
        <f>(G307-C307)/C307</f>
        <v>4.4213835168441677E-2</v>
      </c>
      <c r="I307" s="248">
        <f>SUM(I303:I306)</f>
        <v>20862557.04044795</v>
      </c>
    </row>
    <row r="308" spans="1:9" x14ac:dyDescent="0.2">
      <c r="C308" s="313"/>
      <c r="G308" s="117"/>
    </row>
    <row r="309" spans="1:9" x14ac:dyDescent="0.2">
      <c r="A309" s="48">
        <v>5</v>
      </c>
      <c r="B309" s="240" t="s">
        <v>33</v>
      </c>
      <c r="C309" s="36">
        <v>280815980</v>
      </c>
      <c r="D309" s="111"/>
      <c r="E309" s="106" t="s">
        <v>80</v>
      </c>
      <c r="F309" s="112"/>
      <c r="G309" s="13">
        <f>C309+(C309*$H$25)</f>
        <v>292351913.256854</v>
      </c>
      <c r="H309" s="314">
        <f>(G309-C309)/C309</f>
        <v>4.1080045575946203E-2</v>
      </c>
      <c r="I309" s="315">
        <f>G309-C309</f>
        <v>11535933.256853998</v>
      </c>
    </row>
    <row r="310" spans="1:9" x14ac:dyDescent="0.2">
      <c r="A310" s="48">
        <v>6</v>
      </c>
      <c r="B310" s="316" t="s">
        <v>5</v>
      </c>
      <c r="C310" s="113">
        <v>62181804</v>
      </c>
      <c r="D310" s="114"/>
      <c r="E310" s="115" t="s">
        <v>80</v>
      </c>
      <c r="F310" s="116"/>
      <c r="G310" s="11">
        <f>C310+(C310*$H$25)</f>
        <v>64736235.342314556</v>
      </c>
      <c r="H310" s="305">
        <f>(G310-C310)/C310</f>
        <v>4.1080045575946238E-2</v>
      </c>
      <c r="I310" s="248">
        <f>G310-C310</f>
        <v>2554431.3423145562</v>
      </c>
    </row>
    <row r="311" spans="1:9" ht="25.5" x14ac:dyDescent="0.2">
      <c r="B311" s="109" t="s">
        <v>84</v>
      </c>
      <c r="C311" s="317">
        <f>SUM(C309:C310)</f>
        <v>342997784</v>
      </c>
      <c r="D311" s="318"/>
      <c r="E311" s="319"/>
      <c r="F311" s="319"/>
      <c r="G311" s="110">
        <f>SUM(G309:G310)</f>
        <v>357088148.59916854</v>
      </c>
      <c r="H311" s="235">
        <f>(G311-C311)/C311</f>
        <v>4.1080045575946168E-2</v>
      </c>
      <c r="I311" s="248">
        <f>SUM(I309:I310)</f>
        <v>14090364.599168554</v>
      </c>
    </row>
    <row r="312" spans="1:9" x14ac:dyDescent="0.2">
      <c r="I312" s="313"/>
    </row>
    <row r="313" spans="1:9" ht="25.5" x14ac:dyDescent="0.2">
      <c r="B313" s="55" t="s">
        <v>16</v>
      </c>
      <c r="C313" s="249">
        <f>C311+C307</f>
        <v>814853640</v>
      </c>
      <c r="D313" s="250"/>
      <c r="E313" s="251"/>
      <c r="F313" s="251"/>
      <c r="G313" s="19">
        <f>G311+G307</f>
        <v>849806561.63961649</v>
      </c>
      <c r="H313" s="235">
        <f>(G313-C313)/C313</f>
        <v>4.2894723572219046E-2</v>
      </c>
      <c r="I313" s="248">
        <f>I311+I307</f>
        <v>34952921.639616504</v>
      </c>
    </row>
  </sheetData>
  <mergeCells count="1">
    <mergeCell ref="T4:U4"/>
  </mergeCells>
  <conditionalFormatting sqref="H183:I196 H31:I38 I82 H125:I132 H85:I92 H57:I64 H157:I164 H44:I49 H70:I75 H99:I99 H139:I146 H171:I175 H7:I14 H54:I55 H79:I81 I50 H121:I121 I107:I110 I120 H20:I25">
    <cfRule type="cellIs" dxfId="76" priority="80" operator="lessThan">
      <formula>0</formula>
    </cfRule>
  </conditionalFormatting>
  <conditionalFormatting sqref="G174">
    <cfRule type="cellIs" dxfId="75" priority="79" operator="lessThan">
      <formula>0</formula>
    </cfRule>
  </conditionalFormatting>
  <conditionalFormatting sqref="H206:I217">
    <cfRule type="cellIs" dxfId="74" priority="78" operator="lessThan">
      <formula>0</formula>
    </cfRule>
  </conditionalFormatting>
  <conditionalFormatting sqref="H15:I15">
    <cfRule type="cellIs" dxfId="73" priority="77" operator="lessThan">
      <formula>0</formula>
    </cfRule>
  </conditionalFormatting>
  <conditionalFormatting sqref="H39:I39">
    <cfRule type="cellIs" dxfId="72" priority="76" operator="lessThan">
      <formula>0</formula>
    </cfRule>
  </conditionalFormatting>
  <conditionalFormatting sqref="H65:I65">
    <cfRule type="cellIs" dxfId="71" priority="75" operator="lessThan">
      <formula>0</formula>
    </cfRule>
  </conditionalFormatting>
  <conditionalFormatting sqref="H93:I93">
    <cfRule type="cellIs" dxfId="70" priority="74" operator="lessThan">
      <formula>0</formula>
    </cfRule>
  </conditionalFormatting>
  <conditionalFormatting sqref="I98">
    <cfRule type="cellIs" dxfId="69" priority="72" operator="lessThan">
      <formula>0</formula>
    </cfRule>
  </conditionalFormatting>
  <conditionalFormatting sqref="H133:I133">
    <cfRule type="cellIs" dxfId="68" priority="73" operator="lessThan">
      <formula>0</formula>
    </cfRule>
  </conditionalFormatting>
  <conditionalFormatting sqref="H165:I165">
    <cfRule type="cellIs" dxfId="67" priority="71" operator="lessThan">
      <formula>0</formula>
    </cfRule>
  </conditionalFormatting>
  <conditionalFormatting sqref="H170:I170">
    <cfRule type="cellIs" dxfId="66" priority="70" operator="lessThan">
      <formula>0</formula>
    </cfRule>
  </conditionalFormatting>
  <conditionalFormatting sqref="H222:I222">
    <cfRule type="cellIs" dxfId="65" priority="69" operator="lessThan">
      <formula>0</formula>
    </cfRule>
  </conditionalFormatting>
  <conditionalFormatting sqref="H16:I16">
    <cfRule type="cellIs" dxfId="64" priority="68" operator="lessThan">
      <formula>0</formula>
    </cfRule>
  </conditionalFormatting>
  <conditionalFormatting sqref="I17">
    <cfRule type="cellIs" dxfId="63" priority="67" operator="lessThan">
      <formula>0</formula>
    </cfRule>
  </conditionalFormatting>
  <conditionalFormatting sqref="H94:I94">
    <cfRule type="cellIs" dxfId="62" priority="66" operator="lessThan">
      <formula>0</formula>
    </cfRule>
  </conditionalFormatting>
  <conditionalFormatting sqref="I95">
    <cfRule type="cellIs" dxfId="61" priority="65" operator="lessThan">
      <formula>0</formula>
    </cfRule>
  </conditionalFormatting>
  <conditionalFormatting sqref="H166:I166">
    <cfRule type="cellIs" dxfId="60" priority="64" operator="lessThan">
      <formula>0</formula>
    </cfRule>
  </conditionalFormatting>
  <conditionalFormatting sqref="H167:I169">
    <cfRule type="cellIs" dxfId="59" priority="63" operator="lessThan">
      <formula>0</formula>
    </cfRule>
  </conditionalFormatting>
  <conditionalFormatting sqref="H134:I134">
    <cfRule type="cellIs" dxfId="58" priority="62" operator="lessThan">
      <formula>0</formula>
    </cfRule>
  </conditionalFormatting>
  <conditionalFormatting sqref="H138:I138">
    <cfRule type="cellIs" dxfId="57" priority="61" operator="lessThan">
      <formula>0</formula>
    </cfRule>
  </conditionalFormatting>
  <conditionalFormatting sqref="I41">
    <cfRule type="cellIs" dxfId="56" priority="58" operator="lessThan">
      <formula>0</formula>
    </cfRule>
  </conditionalFormatting>
  <conditionalFormatting sqref="I18:I19">
    <cfRule type="cellIs" dxfId="55" priority="60" operator="lessThan">
      <formula>0</formula>
    </cfRule>
  </conditionalFormatting>
  <conditionalFormatting sqref="H40:I40">
    <cfRule type="cellIs" dxfId="54" priority="59" operator="lessThan">
      <formula>0</formula>
    </cfRule>
  </conditionalFormatting>
  <conditionalFormatting sqref="I42">
    <cfRule type="cellIs" dxfId="53" priority="57" operator="lessThan">
      <formula>0</formula>
    </cfRule>
  </conditionalFormatting>
  <conditionalFormatting sqref="H66:I66">
    <cfRule type="cellIs" dxfId="52" priority="56" operator="lessThan">
      <formula>0</formula>
    </cfRule>
  </conditionalFormatting>
  <conditionalFormatting sqref="I67">
    <cfRule type="cellIs" dxfId="51" priority="55" operator="lessThan">
      <formula>0</formula>
    </cfRule>
  </conditionalFormatting>
  <conditionalFormatting sqref="I68:I69">
    <cfRule type="cellIs" dxfId="50" priority="54" operator="lessThan">
      <formula>0</formula>
    </cfRule>
  </conditionalFormatting>
  <conditionalFormatting sqref="H135:I135">
    <cfRule type="cellIs" dxfId="49" priority="53" operator="lessThan">
      <formula>0</formula>
    </cfRule>
  </conditionalFormatting>
  <conditionalFormatting sqref="H177:I178">
    <cfRule type="cellIs" dxfId="48" priority="52" operator="lessThan">
      <formula>0</formula>
    </cfRule>
  </conditionalFormatting>
  <conditionalFormatting sqref="H179">
    <cfRule type="cellIs" dxfId="47" priority="51" operator="lessThan">
      <formula>0</formula>
    </cfRule>
  </conditionalFormatting>
  <conditionalFormatting sqref="H26:I27">
    <cfRule type="cellIs" dxfId="46" priority="50" operator="lessThan">
      <formula>0</formula>
    </cfRule>
  </conditionalFormatting>
  <conditionalFormatting sqref="H28">
    <cfRule type="cellIs" dxfId="45" priority="49" operator="lessThan">
      <formula>0</formula>
    </cfRule>
  </conditionalFormatting>
  <conditionalFormatting sqref="H51:I52">
    <cfRule type="cellIs" dxfId="44" priority="48" operator="lessThan">
      <formula>0</formula>
    </cfRule>
  </conditionalFormatting>
  <conditionalFormatting sqref="H53">
    <cfRule type="cellIs" dxfId="43" priority="47" operator="lessThan">
      <formula>0</formula>
    </cfRule>
  </conditionalFormatting>
  <conditionalFormatting sqref="H76:I77">
    <cfRule type="cellIs" dxfId="42" priority="46" operator="lessThan">
      <formula>0</formula>
    </cfRule>
  </conditionalFormatting>
  <conditionalFormatting sqref="H78">
    <cfRule type="cellIs" dxfId="41" priority="45" operator="lessThan">
      <formula>0</formula>
    </cfRule>
  </conditionalFormatting>
  <conditionalFormatting sqref="H101:I102">
    <cfRule type="cellIs" dxfId="40" priority="44" operator="lessThan">
      <formula>0</formula>
    </cfRule>
  </conditionalFormatting>
  <conditionalFormatting sqref="H103">
    <cfRule type="cellIs" dxfId="39" priority="43" operator="lessThan">
      <formula>0</formula>
    </cfRule>
  </conditionalFormatting>
  <conditionalFormatting sqref="H149:I150">
    <cfRule type="cellIs" dxfId="38" priority="42" operator="lessThan">
      <formula>0</formula>
    </cfRule>
  </conditionalFormatting>
  <conditionalFormatting sqref="H151">
    <cfRule type="cellIs" dxfId="37" priority="41" operator="lessThan">
      <formula>0</formula>
    </cfRule>
  </conditionalFormatting>
  <conditionalFormatting sqref="H41:H42">
    <cfRule type="cellIs" dxfId="36" priority="40" operator="lessThan">
      <formula>0</formula>
    </cfRule>
  </conditionalFormatting>
  <conditionalFormatting sqref="H17">
    <cfRule type="cellIs" dxfId="35" priority="39" operator="lessThan">
      <formula>0</formula>
    </cfRule>
  </conditionalFormatting>
  <conditionalFormatting sqref="H18:H19">
    <cfRule type="cellIs" dxfId="34" priority="38" operator="lessThan">
      <formula>0</formula>
    </cfRule>
  </conditionalFormatting>
  <conditionalFormatting sqref="H67:H69">
    <cfRule type="cellIs" dxfId="33" priority="37" operator="lessThan">
      <formula>0</formula>
    </cfRule>
  </conditionalFormatting>
  <conditionalFormatting sqref="H95">
    <cfRule type="cellIs" dxfId="32" priority="36" operator="lessThan">
      <formula>0</formula>
    </cfRule>
  </conditionalFormatting>
  <conditionalFormatting sqref="H98">
    <cfRule type="cellIs" dxfId="31" priority="35" operator="lessThan">
      <formula>0</formula>
    </cfRule>
  </conditionalFormatting>
  <conditionalFormatting sqref="G172">
    <cfRule type="cellIs" dxfId="30" priority="34" operator="lessThan">
      <formula>0</formula>
    </cfRule>
  </conditionalFormatting>
  <conditionalFormatting sqref="G142">
    <cfRule type="cellIs" dxfId="29" priority="33" operator="lessThan">
      <formula>0</formula>
    </cfRule>
  </conditionalFormatting>
  <conditionalFormatting sqref="I111">
    <cfRule type="cellIs" dxfId="28" priority="32" operator="lessThan">
      <formula>0</formula>
    </cfRule>
  </conditionalFormatting>
  <conditionalFormatting sqref="I96">
    <cfRule type="cellIs" dxfId="27" priority="31" operator="lessThan">
      <formula>0</formula>
    </cfRule>
  </conditionalFormatting>
  <conditionalFormatting sqref="H96">
    <cfRule type="cellIs" dxfId="26" priority="30" operator="lessThan">
      <formula>0</formula>
    </cfRule>
  </conditionalFormatting>
  <conditionalFormatting sqref="I97">
    <cfRule type="cellIs" dxfId="25" priority="29" operator="lessThan">
      <formula>0</formula>
    </cfRule>
  </conditionalFormatting>
  <conditionalFormatting sqref="H97">
    <cfRule type="cellIs" dxfId="24" priority="28" operator="lessThan">
      <formula>0</formula>
    </cfRule>
  </conditionalFormatting>
  <conditionalFormatting sqref="H136:I136">
    <cfRule type="cellIs" dxfId="23" priority="26" operator="lessThan">
      <formula>0</formula>
    </cfRule>
  </conditionalFormatting>
  <conditionalFormatting sqref="H137:I137">
    <cfRule type="cellIs" dxfId="22" priority="25" operator="lessThan">
      <formula>0</formula>
    </cfRule>
  </conditionalFormatting>
  <conditionalFormatting sqref="H297:I298 I292:I295">
    <cfRule type="cellIs" dxfId="21" priority="24" operator="lessThan">
      <formula>0</formula>
    </cfRule>
  </conditionalFormatting>
  <conditionalFormatting sqref="H296:I296">
    <cfRule type="cellIs" dxfId="20" priority="23" operator="lessThan">
      <formula>0</formula>
    </cfRule>
  </conditionalFormatting>
  <conditionalFormatting sqref="H292:H295">
    <cfRule type="cellIs" dxfId="19" priority="22" operator="lessThan">
      <formula>0</formula>
    </cfRule>
  </conditionalFormatting>
  <conditionalFormatting sqref="I303:I306">
    <cfRule type="cellIs" dxfId="18" priority="21" operator="lessThan">
      <formula>0</formula>
    </cfRule>
  </conditionalFormatting>
  <conditionalFormatting sqref="H303:H306">
    <cfRule type="cellIs" dxfId="17" priority="20" operator="lessThan">
      <formula>0</formula>
    </cfRule>
  </conditionalFormatting>
  <conditionalFormatting sqref="H310:I310">
    <cfRule type="cellIs" dxfId="16" priority="19" operator="lessThan">
      <formula>0</formula>
    </cfRule>
  </conditionalFormatting>
  <conditionalFormatting sqref="H309:I309">
    <cfRule type="cellIs" dxfId="15" priority="18" operator="lessThan">
      <formula>0</formula>
    </cfRule>
  </conditionalFormatting>
  <conditionalFormatting sqref="I307">
    <cfRule type="cellIs" dxfId="14" priority="17" operator="lessThan">
      <formula>0</formula>
    </cfRule>
  </conditionalFormatting>
  <conditionalFormatting sqref="I311">
    <cfRule type="cellIs" dxfId="13" priority="16" operator="lessThan">
      <formula>0</formula>
    </cfRule>
  </conditionalFormatting>
  <conditionalFormatting sqref="H307">
    <cfRule type="cellIs" dxfId="12" priority="15" operator="lessThan">
      <formula>0</formula>
    </cfRule>
  </conditionalFormatting>
  <conditionalFormatting sqref="H311">
    <cfRule type="cellIs" dxfId="11" priority="14" operator="lessThan">
      <formula>0</formula>
    </cfRule>
  </conditionalFormatting>
  <conditionalFormatting sqref="H313:I313">
    <cfRule type="cellIs" dxfId="10" priority="13" operator="lessThan">
      <formula>0</formula>
    </cfRule>
  </conditionalFormatting>
  <conditionalFormatting sqref="H120">
    <cfRule type="cellIs" dxfId="9" priority="12" operator="lessThan">
      <formula>0</formula>
    </cfRule>
  </conditionalFormatting>
  <conditionalFormatting sqref="I43">
    <cfRule type="cellIs" dxfId="8" priority="11" operator="lessThan">
      <formula>0</formula>
    </cfRule>
  </conditionalFormatting>
  <conditionalFormatting sqref="H43">
    <cfRule type="cellIs" dxfId="7" priority="10" operator="lessThan">
      <formula>0</formula>
    </cfRule>
  </conditionalFormatting>
  <conditionalFormatting sqref="I112">
    <cfRule type="cellIs" dxfId="6" priority="7" operator="lessThan">
      <formula>0</formula>
    </cfRule>
  </conditionalFormatting>
  <conditionalFormatting sqref="H117:H119">
    <cfRule type="cellIs" dxfId="5" priority="6" operator="lessThan">
      <formula>0</formula>
    </cfRule>
  </conditionalFormatting>
  <conditionalFormatting sqref="I113:I119">
    <cfRule type="cellIs" dxfId="4" priority="5" operator="lessThan">
      <formula>0</formula>
    </cfRule>
  </conditionalFormatting>
  <conditionalFormatting sqref="H108">
    <cfRule type="cellIs" dxfId="3" priority="4" operator="lessThan">
      <formula>0</formula>
    </cfRule>
  </conditionalFormatting>
  <conditionalFormatting sqref="H107">
    <cfRule type="cellIs" dxfId="2" priority="3" operator="lessThan">
      <formula>0</formula>
    </cfRule>
  </conditionalFormatting>
  <conditionalFormatting sqref="H109:H111">
    <cfRule type="cellIs" dxfId="1" priority="2" operator="lessThan">
      <formula>0</formula>
    </cfRule>
  </conditionalFormatting>
  <conditionalFormatting sqref="H112:H116">
    <cfRule type="cellIs" dxfId="0" priority="1" operator="lessThan">
      <formula>0</formula>
    </cfRule>
  </conditionalFormatting>
  <printOptions horizontalCentered="1"/>
  <pageMargins left="0" right="0" top="0.17" bottom="0.17" header="0.38" footer="0.17"/>
  <pageSetup scale="74" fitToHeight="0" orientation="portrait" horizontalDpi="1200" verticalDpi="1200" r:id="rId1"/>
  <headerFooter alignWithMargins="0">
    <oddFooter>&amp;L&amp;9Planning and Accountability&amp;10
&amp;C&amp;9&amp;P&amp;R&amp;9&amp;D</oddFooter>
  </headerFooter>
  <rowBreaks count="2" manualBreakCount="2">
    <brk id="72" max="23" man="1"/>
    <brk id="152" max="2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19233-3191-4F70-8567-EDF9AACC42DD}">
  <dimension ref="A1:H33"/>
  <sheetViews>
    <sheetView showGridLines="0" zoomScale="90" zoomScaleNormal="90" workbookViewId="0">
      <selection activeCell="G3" sqref="G3"/>
    </sheetView>
  </sheetViews>
  <sheetFormatPr defaultRowHeight="12.75" x14ac:dyDescent="0.2"/>
  <cols>
    <col min="1" max="1" width="37.28515625" style="895" bestFit="1" customWidth="1"/>
    <col min="2" max="2" width="19.42578125" style="895" customWidth="1"/>
    <col min="3" max="7" width="19.7109375" style="895" customWidth="1"/>
    <col min="8" max="8" width="19.28515625" style="895" customWidth="1"/>
    <col min="9" max="16384" width="9.140625" style="895"/>
  </cols>
  <sheetData>
    <row r="1" spans="1:8" ht="15.75" x14ac:dyDescent="0.25">
      <c r="A1" s="900"/>
      <c r="B1" s="896"/>
      <c r="C1" s="896"/>
      <c r="D1" s="897" t="s">
        <v>735</v>
      </c>
      <c r="E1" s="896"/>
      <c r="F1" s="896"/>
      <c r="G1" s="896"/>
      <c r="H1" s="896"/>
    </row>
    <row r="2" spans="1:8" ht="20.25" x14ac:dyDescent="0.3">
      <c r="A2" s="896"/>
      <c r="B2" s="896"/>
      <c r="C2" s="994"/>
      <c r="D2" s="897" t="s">
        <v>79</v>
      </c>
      <c r="E2" s="994"/>
      <c r="F2" s="994"/>
      <c r="G2" s="994"/>
      <c r="H2" s="995"/>
    </row>
    <row r="3" spans="1:8" ht="20.25" x14ac:dyDescent="0.3">
      <c r="A3" s="896"/>
      <c r="B3" s="994"/>
      <c r="C3" s="994"/>
      <c r="D3" s="903" t="s">
        <v>703</v>
      </c>
      <c r="E3" s="994"/>
      <c r="F3" s="994"/>
      <c r="G3" s="994"/>
      <c r="H3" s="995"/>
    </row>
    <row r="4" spans="1:8" ht="20.25" x14ac:dyDescent="0.3">
      <c r="A4" s="896"/>
      <c r="B4" s="896"/>
      <c r="C4" s="996"/>
      <c r="D4" s="997"/>
      <c r="E4" s="941"/>
      <c r="F4" s="994"/>
      <c r="G4" s="896"/>
      <c r="H4" s="995"/>
    </row>
    <row r="5" spans="1:8" s="1003" customFormat="1" ht="18" customHeight="1" x14ac:dyDescent="0.2">
      <c r="A5" s="998"/>
      <c r="B5" s="999"/>
      <c r="C5" s="1000">
        <f>E5/2</f>
        <v>5969.8770763886496</v>
      </c>
      <c r="D5" s="1001">
        <f>E5/2</f>
        <v>5969.8770763886496</v>
      </c>
      <c r="E5" s="1002">
        <v>11939.754152777299</v>
      </c>
      <c r="F5" s="898"/>
      <c r="G5" s="898"/>
      <c r="H5" s="898"/>
    </row>
    <row r="6" spans="1:8" s="1003" customFormat="1" ht="15" x14ac:dyDescent="0.25">
      <c r="A6" s="903"/>
      <c r="B6" s="1004" t="s">
        <v>736</v>
      </c>
      <c r="C6" s="1005" t="s">
        <v>0</v>
      </c>
      <c r="D6" s="1006" t="s">
        <v>0</v>
      </c>
      <c r="E6" s="906" t="s">
        <v>154</v>
      </c>
      <c r="F6" s="1007" t="s">
        <v>348</v>
      </c>
      <c r="G6" s="1046" t="s">
        <v>349</v>
      </c>
      <c r="H6" s="1008"/>
    </row>
    <row r="7" spans="1:8" s="1003" customFormat="1" ht="15" x14ac:dyDescent="0.25">
      <c r="A7" s="912" t="s">
        <v>737</v>
      </c>
      <c r="B7" s="1009" t="s">
        <v>738</v>
      </c>
      <c r="C7" s="1010" t="s">
        <v>709</v>
      </c>
      <c r="D7" s="1011" t="s">
        <v>710</v>
      </c>
      <c r="E7" s="1012" t="s">
        <v>739</v>
      </c>
      <c r="F7" s="1013"/>
      <c r="G7" s="1047"/>
      <c r="H7" s="1014" t="s">
        <v>740</v>
      </c>
    </row>
    <row r="8" spans="1:8" s="1003" customFormat="1" ht="14.25" x14ac:dyDescent="0.2">
      <c r="A8" s="898" t="s">
        <v>711</v>
      </c>
      <c r="B8" s="1015">
        <v>1405</v>
      </c>
      <c r="C8" s="920">
        <f>ROUND(($B8*C$5),0)</f>
        <v>8387677</v>
      </c>
      <c r="D8" s="921">
        <f>ROUND(($B8*D$5),0)</f>
        <v>8387677</v>
      </c>
      <c r="E8" s="922">
        <f t="shared" ref="E8:E16" si="0">ROUND((D8+C8),0)</f>
        <v>16775354</v>
      </c>
      <c r="F8" s="1016">
        <v>16405222</v>
      </c>
      <c r="G8" s="919">
        <f>E8-F8</f>
        <v>370132</v>
      </c>
      <c r="H8" s="1017">
        <f t="shared" ref="H8:H23" si="1">G8/F8</f>
        <v>2.256184037009679E-2</v>
      </c>
    </row>
    <row r="9" spans="1:8" s="1003" customFormat="1" ht="14.25" x14ac:dyDescent="0.2">
      <c r="A9" s="898" t="s">
        <v>712</v>
      </c>
      <c r="B9" s="1015">
        <v>608</v>
      </c>
      <c r="C9" s="925">
        <f t="shared" ref="C9:D20" si="2">ROUND(($B9*C$5),0)</f>
        <v>3629685</v>
      </c>
      <c r="D9" s="926">
        <f t="shared" si="2"/>
        <v>3629685</v>
      </c>
      <c r="E9" s="927">
        <f t="shared" si="0"/>
        <v>7259370</v>
      </c>
      <c r="F9" s="1018">
        <v>6901178</v>
      </c>
      <c r="G9" s="898">
        <f t="shared" ref="G9:G20" si="3">E9-F9</f>
        <v>358192</v>
      </c>
      <c r="H9" s="1017">
        <f t="shared" si="1"/>
        <v>5.1903022933186188E-2</v>
      </c>
    </row>
    <row r="10" spans="1:8" s="1003" customFormat="1" ht="14.25" x14ac:dyDescent="0.2">
      <c r="A10" s="898" t="s">
        <v>713</v>
      </c>
      <c r="B10" s="1015">
        <v>1100</v>
      </c>
      <c r="C10" s="925">
        <f t="shared" si="2"/>
        <v>6566865</v>
      </c>
      <c r="D10" s="926">
        <f t="shared" si="2"/>
        <v>6566865</v>
      </c>
      <c r="E10" s="927">
        <f t="shared" si="0"/>
        <v>13133730</v>
      </c>
      <c r="F10" s="1018">
        <v>12560622</v>
      </c>
      <c r="G10" s="898">
        <f t="shared" si="3"/>
        <v>573108</v>
      </c>
      <c r="H10" s="1017">
        <f t="shared" si="1"/>
        <v>4.5627358262990476E-2</v>
      </c>
    </row>
    <row r="11" spans="1:8" s="1003" customFormat="1" ht="14.25" x14ac:dyDescent="0.2">
      <c r="A11" s="898" t="s">
        <v>714</v>
      </c>
      <c r="B11" s="1015">
        <v>823</v>
      </c>
      <c r="C11" s="925">
        <f t="shared" si="2"/>
        <v>4913209</v>
      </c>
      <c r="D11" s="926">
        <f t="shared" si="2"/>
        <v>4913209</v>
      </c>
      <c r="E11" s="927">
        <f t="shared" si="0"/>
        <v>9826418</v>
      </c>
      <c r="F11" s="1018">
        <v>9301068</v>
      </c>
      <c r="G11" s="898">
        <f t="shared" si="3"/>
        <v>525350</v>
      </c>
      <c r="H11" s="1017">
        <f t="shared" si="1"/>
        <v>5.648276090444667E-2</v>
      </c>
    </row>
    <row r="12" spans="1:8" s="1003" customFormat="1" ht="14.25" x14ac:dyDescent="0.2">
      <c r="A12" s="898" t="s">
        <v>715</v>
      </c>
      <c r="B12" s="1015">
        <v>149</v>
      </c>
      <c r="C12" s="925">
        <f t="shared" si="2"/>
        <v>889512</v>
      </c>
      <c r="D12" s="926">
        <f t="shared" si="2"/>
        <v>889512</v>
      </c>
      <c r="E12" s="927">
        <f t="shared" si="0"/>
        <v>1779024</v>
      </c>
      <c r="F12" s="1018">
        <v>1755144</v>
      </c>
      <c r="G12" s="898">
        <f t="shared" si="3"/>
        <v>23880</v>
      </c>
      <c r="H12" s="1017">
        <f t="shared" si="1"/>
        <v>1.3605721239966635E-2</v>
      </c>
    </row>
    <row r="13" spans="1:8" s="1003" customFormat="1" ht="14.25" x14ac:dyDescent="0.2">
      <c r="A13" s="898" t="s">
        <v>716</v>
      </c>
      <c r="B13" s="1015">
        <v>117</v>
      </c>
      <c r="C13" s="925">
        <f t="shared" si="2"/>
        <v>698476</v>
      </c>
      <c r="D13" s="926">
        <f t="shared" si="2"/>
        <v>698476</v>
      </c>
      <c r="E13" s="927">
        <f t="shared" si="0"/>
        <v>1396952</v>
      </c>
      <c r="F13" s="1018">
        <v>919362</v>
      </c>
      <c r="G13" s="898">
        <f t="shared" si="3"/>
        <v>477590</v>
      </c>
      <c r="H13" s="1017">
        <f t="shared" si="1"/>
        <v>0.51947981317478864</v>
      </c>
    </row>
    <row r="14" spans="1:8" s="1003" customFormat="1" ht="14.25" x14ac:dyDescent="0.2">
      <c r="A14" s="898" t="s">
        <v>7</v>
      </c>
      <c r="B14" s="1015">
        <v>1249</v>
      </c>
      <c r="C14" s="925">
        <f t="shared" si="2"/>
        <v>7456376</v>
      </c>
      <c r="D14" s="926">
        <f t="shared" si="2"/>
        <v>7456376</v>
      </c>
      <c r="E14" s="927">
        <f t="shared" si="0"/>
        <v>14912752</v>
      </c>
      <c r="F14" s="1018">
        <v>14244126</v>
      </c>
      <c r="G14" s="898">
        <f t="shared" si="3"/>
        <v>668626</v>
      </c>
      <c r="H14" s="1017">
        <f t="shared" si="1"/>
        <v>4.6940472163753674E-2</v>
      </c>
    </row>
    <row r="15" spans="1:8" s="1003" customFormat="1" ht="14.25" x14ac:dyDescent="0.2">
      <c r="A15" s="898" t="s">
        <v>717</v>
      </c>
      <c r="B15" s="1015">
        <v>473</v>
      </c>
      <c r="C15" s="925">
        <f t="shared" si="2"/>
        <v>2823752</v>
      </c>
      <c r="D15" s="926">
        <f t="shared" si="2"/>
        <v>2823752</v>
      </c>
      <c r="E15" s="927">
        <f t="shared" si="0"/>
        <v>5647504</v>
      </c>
      <c r="F15" s="1018">
        <v>4835600</v>
      </c>
      <c r="G15" s="898">
        <f t="shared" si="3"/>
        <v>811904</v>
      </c>
      <c r="H15" s="1017">
        <f t="shared" si="1"/>
        <v>0.16790139796509224</v>
      </c>
    </row>
    <row r="16" spans="1:8" s="1003" customFormat="1" ht="14.25" x14ac:dyDescent="0.2">
      <c r="A16" s="898" t="s">
        <v>718</v>
      </c>
      <c r="B16" s="1015">
        <v>536</v>
      </c>
      <c r="C16" s="925">
        <f t="shared" si="2"/>
        <v>3199854</v>
      </c>
      <c r="D16" s="926">
        <f t="shared" si="2"/>
        <v>3199854</v>
      </c>
      <c r="E16" s="927">
        <f t="shared" si="0"/>
        <v>6399708</v>
      </c>
      <c r="F16" s="1018">
        <v>5707202</v>
      </c>
      <c r="G16" s="898">
        <f t="shared" si="3"/>
        <v>692506</v>
      </c>
      <c r="H16" s="1017">
        <f t="shared" si="1"/>
        <v>0.12133896785149711</v>
      </c>
    </row>
    <row r="17" spans="1:8" s="1003" customFormat="1" ht="14.25" x14ac:dyDescent="0.2">
      <c r="A17" s="898" t="s">
        <v>719</v>
      </c>
      <c r="B17" s="1015">
        <v>246</v>
      </c>
      <c r="C17" s="925">
        <f t="shared" si="2"/>
        <v>1468590</v>
      </c>
      <c r="D17" s="926">
        <f t="shared" si="2"/>
        <v>1468590</v>
      </c>
      <c r="E17" s="927">
        <f>ROUND((D17+C17),0)</f>
        <v>2937180</v>
      </c>
      <c r="F17" s="1018">
        <v>3068516</v>
      </c>
      <c r="G17" s="898">
        <f t="shared" si="3"/>
        <v>-131336</v>
      </c>
      <c r="H17" s="1017">
        <f t="shared" si="1"/>
        <v>-4.280114557004102E-2</v>
      </c>
    </row>
    <row r="18" spans="1:8" s="1003" customFormat="1" ht="14.25" x14ac:dyDescent="0.2">
      <c r="A18" s="898" t="s">
        <v>65</v>
      </c>
      <c r="B18" s="1015">
        <v>342</v>
      </c>
      <c r="C18" s="925">
        <f t="shared" si="2"/>
        <v>2041698</v>
      </c>
      <c r="D18" s="926">
        <f t="shared" si="2"/>
        <v>2041698</v>
      </c>
      <c r="E18" s="927">
        <f t="shared" ref="E18:E20" si="4">ROUND((D18+C18),0)</f>
        <v>4083396</v>
      </c>
      <c r="F18" s="1018">
        <v>3641626</v>
      </c>
      <c r="G18" s="898">
        <f t="shared" si="3"/>
        <v>441770</v>
      </c>
      <c r="H18" s="1017">
        <f t="shared" si="1"/>
        <v>0.12131119450487228</v>
      </c>
    </row>
    <row r="19" spans="1:8" s="1003" customFormat="1" ht="14.25" x14ac:dyDescent="0.2">
      <c r="A19" s="898" t="s">
        <v>64</v>
      </c>
      <c r="B19" s="1015">
        <v>216</v>
      </c>
      <c r="C19" s="925">
        <f t="shared" si="2"/>
        <v>1289493</v>
      </c>
      <c r="D19" s="926">
        <f t="shared" si="2"/>
        <v>1289493</v>
      </c>
      <c r="E19" s="927">
        <f t="shared" si="4"/>
        <v>2578986</v>
      </c>
      <c r="F19" s="1018">
        <v>2005878</v>
      </c>
      <c r="G19" s="898">
        <f t="shared" si="3"/>
        <v>573108</v>
      </c>
      <c r="H19" s="1017">
        <f t="shared" si="1"/>
        <v>0.2857142857142857</v>
      </c>
    </row>
    <row r="20" spans="1:8" s="1003" customFormat="1" ht="14.25" x14ac:dyDescent="0.2">
      <c r="A20" s="898" t="s">
        <v>745</v>
      </c>
      <c r="B20" s="1015">
        <v>0</v>
      </c>
      <c r="C20" s="925">
        <f t="shared" si="2"/>
        <v>0</v>
      </c>
      <c r="D20" s="926">
        <f t="shared" si="2"/>
        <v>0</v>
      </c>
      <c r="E20" s="927">
        <f t="shared" si="4"/>
        <v>0</v>
      </c>
      <c r="F20" s="1018">
        <v>0</v>
      </c>
      <c r="G20" s="898">
        <f t="shared" si="3"/>
        <v>0</v>
      </c>
      <c r="H20" s="1017"/>
    </row>
    <row r="21" spans="1:8" s="1003" customFormat="1" ht="15" x14ac:dyDescent="0.25">
      <c r="A21" s="1019" t="s">
        <v>741</v>
      </c>
      <c r="B21" s="1020">
        <f t="shared" ref="B21" si="5">SUM(B8:B20)</f>
        <v>7264</v>
      </c>
      <c r="C21" s="1021">
        <f t="shared" ref="C21:G21" si="6">SUM(C8:C20)</f>
        <v>43365187</v>
      </c>
      <c r="D21" s="1022">
        <f t="shared" si="6"/>
        <v>43365187</v>
      </c>
      <c r="E21" s="1023">
        <f t="shared" si="6"/>
        <v>86730374</v>
      </c>
      <c r="F21" s="1020">
        <f t="shared" si="6"/>
        <v>81345544</v>
      </c>
      <c r="G21" s="1024">
        <f t="shared" si="6"/>
        <v>5384830</v>
      </c>
      <c r="H21" s="1025">
        <f t="shared" si="1"/>
        <v>6.6196987999736043E-2</v>
      </c>
    </row>
    <row r="22" spans="1:8" s="1003" customFormat="1" ht="14.25" x14ac:dyDescent="0.2">
      <c r="A22" s="898" t="s">
        <v>742</v>
      </c>
      <c r="B22" s="1026">
        <v>1411</v>
      </c>
      <c r="C22" s="920">
        <f>ROUND(($B22*C$5),0)</f>
        <v>8423497</v>
      </c>
      <c r="D22" s="921">
        <f>ROUND(($B22*D$5),0)</f>
        <v>8423497</v>
      </c>
      <c r="E22" s="1027">
        <f>ROUND((D22+C22),0)</f>
        <v>16846994</v>
      </c>
      <c r="F22" s="1028">
        <v>17193246</v>
      </c>
      <c r="G22" s="919">
        <f>E22-F22</f>
        <v>-346252</v>
      </c>
      <c r="H22" s="1017">
        <f t="shared" si="1"/>
        <v>-2.0138838239155073E-2</v>
      </c>
    </row>
    <row r="23" spans="1:8" s="1003" customFormat="1" ht="15" thickBot="1" x14ac:dyDescent="0.25">
      <c r="A23" s="1029" t="s">
        <v>743</v>
      </c>
      <c r="B23" s="1029">
        <f t="shared" ref="B23:G23" si="7">B22+B21</f>
        <v>8675</v>
      </c>
      <c r="C23" s="936">
        <f t="shared" si="7"/>
        <v>51788684</v>
      </c>
      <c r="D23" s="937">
        <f t="shared" si="7"/>
        <v>51788684</v>
      </c>
      <c r="E23" s="1030">
        <f t="shared" si="7"/>
        <v>103577368</v>
      </c>
      <c r="F23" s="1031">
        <f t="shared" si="7"/>
        <v>98538790</v>
      </c>
      <c r="G23" s="1031">
        <f t="shared" si="7"/>
        <v>5038578</v>
      </c>
      <c r="H23" s="1032">
        <f t="shared" si="1"/>
        <v>5.113293962712552E-2</v>
      </c>
    </row>
    <row r="24" spans="1:8" s="1003" customFormat="1" ht="15" thickTop="1" x14ac:dyDescent="0.2"/>
    <row r="25" spans="1:8" s="1003" customFormat="1" ht="14.25" x14ac:dyDescent="0.2"/>
    <row r="26" spans="1:8" s="1003" customFormat="1" ht="14.25" x14ac:dyDescent="0.2"/>
    <row r="27" spans="1:8" s="1003" customFormat="1" ht="17.25" customHeight="1" x14ac:dyDescent="0.25">
      <c r="A27" s="1019" t="s">
        <v>741</v>
      </c>
      <c r="B27" s="1019"/>
      <c r="C27" s="1019"/>
      <c r="D27" s="1019"/>
      <c r="E27" s="1023">
        <f>E21</f>
        <v>86730374</v>
      </c>
    </row>
    <row r="28" spans="1:8" s="1003" customFormat="1" ht="14.25" x14ac:dyDescent="0.2"/>
    <row r="29" spans="1:8" s="1003" customFormat="1" ht="14.25" x14ac:dyDescent="0.2">
      <c r="A29" s="898" t="s">
        <v>744</v>
      </c>
      <c r="B29" s="898"/>
      <c r="C29" s="919"/>
      <c r="D29" s="919"/>
      <c r="E29" s="1033"/>
      <c r="F29" s="898"/>
      <c r="G29" s="919"/>
      <c r="H29" s="898"/>
    </row>
    <row r="30" spans="1:8" s="1003" customFormat="1" ht="14.25" x14ac:dyDescent="0.2"/>
    <row r="33" spans="5:5" x14ac:dyDescent="0.2">
      <c r="E33" s="943"/>
    </row>
  </sheetData>
  <mergeCells count="1">
    <mergeCell ref="G6:G7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47580-525C-4D59-9FC9-27091CF16A0E}">
  <dimension ref="A1:AG243"/>
  <sheetViews>
    <sheetView showGridLines="0" zoomScale="75" zoomScaleNormal="75" workbookViewId="0">
      <selection activeCell="G3" sqref="G3"/>
    </sheetView>
  </sheetViews>
  <sheetFormatPr defaultRowHeight="12.75" x14ac:dyDescent="0.2"/>
  <cols>
    <col min="1" max="1" width="30.28515625" style="320" customWidth="1"/>
    <col min="2" max="2" width="10.28515625" style="320" customWidth="1"/>
    <col min="3" max="3" width="16.85546875" style="320" customWidth="1"/>
    <col min="4" max="4" width="17.140625" style="320" customWidth="1"/>
    <col min="5" max="5" width="18.140625" style="320" customWidth="1"/>
    <col min="6" max="6" width="17" style="320" customWidth="1"/>
    <col min="7" max="7" width="15.28515625" style="320" customWidth="1"/>
    <col min="8" max="8" width="14.7109375" style="320" customWidth="1"/>
    <col min="9" max="9" width="17.42578125" style="320" customWidth="1"/>
    <col min="10" max="10" width="17.7109375" style="320" customWidth="1"/>
    <col min="11" max="15" width="17.140625" style="320" customWidth="1"/>
    <col min="16" max="16" width="18.85546875" style="320" customWidth="1"/>
    <col min="17" max="17" width="15.140625" style="320" customWidth="1"/>
    <col min="18" max="18" width="27.5703125" style="320" customWidth="1"/>
    <col min="19" max="19" width="19.5703125" style="320" customWidth="1"/>
    <col min="20" max="20" width="3.85546875" style="320" customWidth="1"/>
    <col min="21" max="21" width="4.42578125" style="320" customWidth="1"/>
    <col min="22" max="22" width="71.85546875" style="320" customWidth="1"/>
    <col min="23" max="23" width="13.85546875" style="320" customWidth="1"/>
    <col min="24" max="25" width="13.5703125" style="320" customWidth="1"/>
    <col min="26" max="26" width="14" style="320" customWidth="1"/>
    <col min="27" max="27" width="12" style="320" customWidth="1"/>
    <col min="28" max="28" width="12.5703125" style="320" customWidth="1"/>
    <col min="29" max="29" width="13.42578125" style="320" customWidth="1"/>
    <col min="30" max="30" width="13.5703125" style="320" customWidth="1"/>
    <col min="31" max="31" width="13.42578125" style="320" customWidth="1"/>
    <col min="32" max="32" width="16.28515625" style="320" customWidth="1"/>
    <col min="33" max="16384" width="9.140625" style="320"/>
  </cols>
  <sheetData>
    <row r="1" spans="1:16" ht="15.75" x14ac:dyDescent="0.25">
      <c r="G1" s="321" t="s">
        <v>9</v>
      </c>
    </row>
    <row r="2" spans="1:16" ht="15.75" x14ac:dyDescent="0.25">
      <c r="D2" s="321"/>
      <c r="G2" s="322" t="s">
        <v>91</v>
      </c>
    </row>
    <row r="3" spans="1:16" ht="15.75" x14ac:dyDescent="0.25">
      <c r="D3" s="323"/>
      <c r="G3" s="324" t="s">
        <v>92</v>
      </c>
    </row>
    <row r="5" spans="1:16" x14ac:dyDescent="0.2">
      <c r="K5" s="325"/>
      <c r="L5" s="325"/>
      <c r="M5" s="325"/>
      <c r="N5" s="325"/>
      <c r="O5" s="325"/>
      <c r="P5" s="325"/>
    </row>
    <row r="6" spans="1:16" x14ac:dyDescent="0.2">
      <c r="K6" s="325"/>
      <c r="L6" s="325"/>
      <c r="M6" s="325"/>
      <c r="N6" s="325"/>
      <c r="O6" s="325"/>
      <c r="P6" s="325"/>
    </row>
    <row r="7" spans="1:16" ht="60" x14ac:dyDescent="0.25">
      <c r="A7" s="326" t="s">
        <v>93</v>
      </c>
      <c r="B7" s="327" t="s">
        <v>94</v>
      </c>
      <c r="C7" s="328" t="s">
        <v>95</v>
      </c>
      <c r="D7" s="328" t="s">
        <v>96</v>
      </c>
      <c r="E7" s="327" t="s">
        <v>97</v>
      </c>
      <c r="F7" s="329"/>
      <c r="G7" s="330"/>
      <c r="H7" s="327" t="s">
        <v>98</v>
      </c>
      <c r="I7" s="331" t="s">
        <v>99</v>
      </c>
      <c r="K7" s="332"/>
      <c r="L7" s="332"/>
      <c r="M7" s="332"/>
      <c r="N7" s="332"/>
      <c r="O7" s="332"/>
      <c r="P7" s="332"/>
    </row>
    <row r="8" spans="1:16" ht="15" x14ac:dyDescent="0.2">
      <c r="L8" s="1035"/>
      <c r="M8" s="1035"/>
      <c r="N8" s="1035"/>
      <c r="O8" s="1035"/>
      <c r="P8" s="1035"/>
    </row>
    <row r="9" spans="1:16" x14ac:dyDescent="0.2">
      <c r="K9" s="325"/>
      <c r="L9" s="325"/>
      <c r="M9" s="325"/>
      <c r="N9" s="325"/>
      <c r="O9" s="325"/>
      <c r="P9" s="325"/>
    </row>
    <row r="10" spans="1:16" ht="15" x14ac:dyDescent="0.2">
      <c r="A10" s="333" t="s">
        <v>100</v>
      </c>
      <c r="B10" s="334">
        <f>'I&amp;O Calc'!D323</f>
        <v>1253.5999999999999</v>
      </c>
      <c r="C10" s="334">
        <f>'I&amp;O Calc'!E323</f>
        <v>0</v>
      </c>
      <c r="D10" s="334">
        <f>'I&amp;O Calc'!F323</f>
        <v>0</v>
      </c>
      <c r="E10" s="334">
        <f>'I&amp;O Calc'!G323</f>
        <v>4431.29</v>
      </c>
      <c r="F10" s="335"/>
      <c r="G10" s="335"/>
      <c r="H10" s="334">
        <f>'I&amp;O Calc'!J323</f>
        <v>769.17</v>
      </c>
      <c r="I10" s="336">
        <f>'I&amp;O Calc'!K323</f>
        <v>6454.07</v>
      </c>
      <c r="K10" s="337"/>
      <c r="L10" s="337"/>
      <c r="M10" s="337"/>
      <c r="N10" s="337"/>
      <c r="O10" s="337"/>
      <c r="P10" s="337"/>
    </row>
    <row r="11" spans="1:16" ht="15" x14ac:dyDescent="0.2">
      <c r="A11" s="338" t="s">
        <v>101</v>
      </c>
      <c r="B11" s="334">
        <f>'I&amp;O Calc'!D324</f>
        <v>0</v>
      </c>
      <c r="C11" s="334">
        <f>'I&amp;O Calc'!E324</f>
        <v>0</v>
      </c>
      <c r="D11" s="334">
        <f>'I&amp;O Calc'!F324</f>
        <v>0</v>
      </c>
      <c r="E11" s="334">
        <f>'I&amp;O Calc'!G324</f>
        <v>1066.5</v>
      </c>
      <c r="F11" s="335"/>
      <c r="G11" s="335"/>
      <c r="H11" s="334">
        <f>'I&amp;O Calc'!J324</f>
        <v>1761.72</v>
      </c>
      <c r="I11" s="336">
        <f>'I&amp;O Calc'!K324</f>
        <v>2828.24</v>
      </c>
      <c r="K11" s="337"/>
      <c r="L11" s="337"/>
      <c r="M11" s="337"/>
      <c r="N11" s="337"/>
      <c r="O11" s="337"/>
      <c r="P11" s="337"/>
    </row>
    <row r="12" spans="1:16" ht="15" x14ac:dyDescent="0.2">
      <c r="A12" s="339" t="s">
        <v>102</v>
      </c>
      <c r="B12" s="334">
        <f>'I&amp;O Calc'!D325</f>
        <v>0</v>
      </c>
      <c r="C12" s="334">
        <f>'I&amp;O Calc'!E325</f>
        <v>0</v>
      </c>
      <c r="D12" s="334">
        <f>'I&amp;O Calc'!F325</f>
        <v>0</v>
      </c>
      <c r="E12" s="334">
        <f>'I&amp;O Calc'!G325</f>
        <v>140.21</v>
      </c>
      <c r="F12" s="335"/>
      <c r="G12" s="335"/>
      <c r="H12" s="334">
        <f>'I&amp;O Calc'!J325</f>
        <v>32.61</v>
      </c>
      <c r="I12" s="336">
        <f>'I&amp;O Calc'!K325</f>
        <v>172.82</v>
      </c>
      <c r="K12" s="337"/>
      <c r="L12" s="337"/>
      <c r="M12" s="337"/>
      <c r="N12" s="337"/>
      <c r="O12" s="337"/>
      <c r="P12" s="337"/>
    </row>
    <row r="13" spans="1:16" ht="15" x14ac:dyDescent="0.2">
      <c r="A13" s="338" t="s">
        <v>103</v>
      </c>
      <c r="B13" s="334">
        <f>'I&amp;O Calc'!D326+'I&amp;O Calc'!D327</f>
        <v>4530.8</v>
      </c>
      <c r="C13" s="334">
        <f>'I&amp;O Calc'!E326+'I&amp;O Calc'!E327</f>
        <v>0</v>
      </c>
      <c r="D13" s="334">
        <f>'I&amp;O Calc'!F326+'I&amp;O Calc'!F327</f>
        <v>0</v>
      </c>
      <c r="E13" s="334">
        <f>'I&amp;O Calc'!G326+'I&amp;O Calc'!G327</f>
        <v>1474.83</v>
      </c>
      <c r="F13" s="334"/>
      <c r="G13" s="334"/>
      <c r="H13" s="334">
        <f>'I&amp;O Calc'!J326+'I&amp;O Calc'!J327</f>
        <v>748.22</v>
      </c>
      <c r="I13" s="336">
        <f>'I&amp;O Calc'!K326+'I&amp;O Calc'!K327</f>
        <v>6753.85</v>
      </c>
      <c r="K13" s="325"/>
      <c r="L13" s="325"/>
      <c r="M13" s="325"/>
      <c r="N13" s="325"/>
      <c r="O13" s="325"/>
      <c r="P13" s="325"/>
    </row>
    <row r="14" spans="1:16" ht="15" x14ac:dyDescent="0.2">
      <c r="A14" s="338" t="s">
        <v>104</v>
      </c>
      <c r="B14" s="334">
        <f>'I&amp;O Calc'!D328</f>
        <v>0</v>
      </c>
      <c r="C14" s="334">
        <f>'I&amp;O Calc'!E328</f>
        <v>0</v>
      </c>
      <c r="D14" s="334">
        <f>'I&amp;O Calc'!F328</f>
        <v>0</v>
      </c>
      <c r="E14" s="334">
        <f>'I&amp;O Calc'!G328</f>
        <v>2292.42</v>
      </c>
      <c r="F14" s="335"/>
      <c r="G14" s="335"/>
      <c r="H14" s="334">
        <f>'I&amp;O Calc'!J328</f>
        <v>0</v>
      </c>
      <c r="I14" s="336">
        <f>'I&amp;O Calc'!K328</f>
        <v>2292.42</v>
      </c>
      <c r="K14" s="325"/>
      <c r="L14" s="325"/>
      <c r="M14" s="325"/>
      <c r="N14" s="325"/>
      <c r="O14" s="325"/>
      <c r="P14" s="325"/>
    </row>
    <row r="15" spans="1:16" ht="15" x14ac:dyDescent="0.2">
      <c r="A15" s="338" t="s">
        <v>105</v>
      </c>
      <c r="B15" s="334">
        <f>'I&amp;O Calc'!D329</f>
        <v>586.5</v>
      </c>
      <c r="C15" s="334">
        <f>'I&amp;O Calc'!E329</f>
        <v>0</v>
      </c>
      <c r="D15" s="334">
        <f>'I&amp;O Calc'!F329</f>
        <v>0</v>
      </c>
      <c r="E15" s="334">
        <f>'I&amp;O Calc'!G329</f>
        <v>1622.54</v>
      </c>
      <c r="F15" s="335"/>
      <c r="G15" s="335"/>
      <c r="H15" s="334">
        <f>'I&amp;O Calc'!J329</f>
        <v>468.67</v>
      </c>
      <c r="I15" s="336">
        <f>'I&amp;O Calc'!K329</f>
        <v>2677.71</v>
      </c>
      <c r="K15" s="340"/>
      <c r="L15" s="340"/>
      <c r="M15" s="340"/>
      <c r="N15" s="340"/>
      <c r="O15" s="340"/>
    </row>
    <row r="16" spans="1:16" ht="15" x14ac:dyDescent="0.2">
      <c r="A16" s="338" t="s">
        <v>106</v>
      </c>
      <c r="B16" s="334">
        <f>'I&amp;O Calc'!D330</f>
        <v>0</v>
      </c>
      <c r="C16" s="334">
        <f>'I&amp;O Calc'!E330</f>
        <v>1245</v>
      </c>
      <c r="D16" s="334">
        <f>'I&amp;O Calc'!F330</f>
        <v>287</v>
      </c>
      <c r="E16" s="334">
        <f>'I&amp;O Calc'!G330</f>
        <v>0</v>
      </c>
      <c r="F16" s="335"/>
      <c r="G16" s="335"/>
      <c r="H16" s="334">
        <f>'I&amp;O Calc'!J330</f>
        <v>0</v>
      </c>
      <c r="I16" s="336">
        <f>'I&amp;O Calc'!K330</f>
        <v>1532</v>
      </c>
    </row>
    <row r="17" spans="1:33" ht="15" x14ac:dyDescent="0.2">
      <c r="A17" s="338" t="s">
        <v>107</v>
      </c>
      <c r="B17" s="334">
        <f>'I&amp;O Calc'!D331</f>
        <v>0</v>
      </c>
      <c r="C17" s="334">
        <f>'I&amp;O Calc'!E331</f>
        <v>6820</v>
      </c>
      <c r="D17" s="334">
        <f>'I&amp;O Calc'!F331</f>
        <v>0</v>
      </c>
      <c r="E17" s="334">
        <f>'I&amp;O Calc'!G331</f>
        <v>0</v>
      </c>
      <c r="F17" s="335"/>
      <c r="G17" s="335"/>
      <c r="H17" s="334">
        <f>'I&amp;O Calc'!J331</f>
        <v>0</v>
      </c>
      <c r="I17" s="336">
        <f>'I&amp;O Calc'!K331</f>
        <v>6820</v>
      </c>
      <c r="P17" s="340"/>
    </row>
    <row r="18" spans="1:33" ht="15.75" x14ac:dyDescent="0.25">
      <c r="A18" s="341" t="s">
        <v>108</v>
      </c>
      <c r="B18" s="342">
        <f>SUM(B10:B17)</f>
        <v>6370.9</v>
      </c>
      <c r="C18" s="342">
        <f>SUM(C10:C17)</f>
        <v>8065</v>
      </c>
      <c r="D18" s="342">
        <f>SUM(D10:D17)</f>
        <v>287</v>
      </c>
      <c r="E18" s="342">
        <f>SUM(E10:E17)</f>
        <v>11027.79</v>
      </c>
      <c r="F18" s="341"/>
      <c r="G18" s="341"/>
      <c r="H18" s="342">
        <f>SUM(H10:H17)</f>
        <v>3780.3900000000003</v>
      </c>
      <c r="I18" s="342">
        <f>SUM(I10:I17)</f>
        <v>29531.11</v>
      </c>
    </row>
    <row r="19" spans="1:33" x14ac:dyDescent="0.2">
      <c r="I19" s="343" t="str">
        <f>IF(I18&lt;&gt;P32,"Error","")</f>
        <v/>
      </c>
    </row>
    <row r="21" spans="1:33" ht="15.75" x14ac:dyDescent="0.25">
      <c r="A21" s="344" t="str">
        <f>'I&amp;O Calc'!$A$2</f>
        <v>FTSE Count -  State-Funded - Summer 2020, Fall 2020 and Spring 2021 - No Errors</v>
      </c>
    </row>
    <row r="22" spans="1:33" ht="15.75" x14ac:dyDescent="0.25">
      <c r="A22" s="345"/>
    </row>
    <row r="23" spans="1:33" ht="99.75" customHeight="1" x14ac:dyDescent="0.2">
      <c r="A23" s="346" t="s">
        <v>109</v>
      </c>
      <c r="B23" s="347" t="s">
        <v>110</v>
      </c>
      <c r="C23" s="348" t="s">
        <v>111</v>
      </c>
      <c r="D23" s="348" t="s">
        <v>112</v>
      </c>
      <c r="E23" s="349" t="s">
        <v>113</v>
      </c>
      <c r="F23" s="348" t="s">
        <v>114</v>
      </c>
      <c r="G23" s="348" t="s">
        <v>115</v>
      </c>
      <c r="H23" s="348" t="s">
        <v>116</v>
      </c>
      <c r="I23" s="348" t="s">
        <v>117</v>
      </c>
      <c r="J23" s="348" t="s">
        <v>118</v>
      </c>
      <c r="K23" s="348" t="s">
        <v>119</v>
      </c>
      <c r="L23" s="348" t="s">
        <v>120</v>
      </c>
      <c r="M23" s="348" t="s">
        <v>121</v>
      </c>
      <c r="N23" s="348" t="s">
        <v>122</v>
      </c>
      <c r="O23" s="348" t="s">
        <v>123</v>
      </c>
      <c r="P23" s="350" t="s">
        <v>124</v>
      </c>
      <c r="Q23" s="351" t="s">
        <v>125</v>
      </c>
      <c r="V23" s="346" t="s">
        <v>109</v>
      </c>
      <c r="W23" s="352" t="s">
        <v>100</v>
      </c>
      <c r="X23" s="353" t="s">
        <v>101</v>
      </c>
      <c r="Y23" s="353" t="s">
        <v>102</v>
      </c>
      <c r="Z23" s="353" t="s">
        <v>103</v>
      </c>
      <c r="AA23" s="353" t="s">
        <v>104</v>
      </c>
      <c r="AB23" s="353" t="s">
        <v>105</v>
      </c>
      <c r="AC23" s="353" t="s">
        <v>106</v>
      </c>
      <c r="AD23" s="353" t="s">
        <v>107</v>
      </c>
      <c r="AE23" s="353" t="s">
        <v>126</v>
      </c>
    </row>
    <row r="24" spans="1:33" ht="15.75" x14ac:dyDescent="0.25">
      <c r="A24" s="333" t="s">
        <v>100</v>
      </c>
      <c r="B24" s="354">
        <v>1</v>
      </c>
      <c r="C24" s="355">
        <f>'I&amp;O Calc'!$K$11</f>
        <v>536.55999999999995</v>
      </c>
      <c r="D24" s="355">
        <f>'I&amp;O Calc'!$K$21</f>
        <v>1366.07</v>
      </c>
      <c r="E24" s="355">
        <f>'I&amp;O Calc'!$K$36</f>
        <v>75.7</v>
      </c>
      <c r="F24" s="355">
        <f>'I&amp;O Calc'!$K$74</f>
        <v>1362.2900000000002</v>
      </c>
      <c r="G24" s="355">
        <f>'I&amp;O Calc'!$K$86</f>
        <v>392.45</v>
      </c>
      <c r="H24" s="356"/>
      <c r="I24" s="355">
        <f>'I&amp;O Calc'!$K$114</f>
        <v>64.97</v>
      </c>
      <c r="J24" s="355">
        <f>'I&amp;O Calc'!$K$142</f>
        <v>604.33000000000004</v>
      </c>
      <c r="K24" s="355">
        <f>'I&amp;O Calc'!$K$164</f>
        <v>2051.6999999999998</v>
      </c>
      <c r="L24" s="356"/>
      <c r="M24" s="356"/>
      <c r="N24" s="356"/>
      <c r="O24" s="356"/>
      <c r="P24" s="357">
        <f>SUM(C24:O24)</f>
        <v>6454.07</v>
      </c>
      <c r="Q24" s="358">
        <f t="shared" ref="Q24:Q30" si="0">COUNTA(C24:N24)</f>
        <v>8</v>
      </c>
      <c r="R24" s="359">
        <f>'I&amp;O Calc'!$K$323</f>
        <v>6454.07</v>
      </c>
      <c r="S24" s="359">
        <f t="shared" ref="S24:S26" si="1">R24-P24</f>
        <v>0</v>
      </c>
      <c r="V24" s="347" t="s">
        <v>110</v>
      </c>
      <c r="W24" s="354">
        <v>1</v>
      </c>
      <c r="X24" s="360">
        <v>1.018</v>
      </c>
      <c r="Y24" s="360">
        <v>1.75</v>
      </c>
      <c r="Z24" s="360">
        <v>1.1379999999999999</v>
      </c>
      <c r="AA24" s="360">
        <v>1.67</v>
      </c>
      <c r="AB24" s="360">
        <v>1.7210000000000001</v>
      </c>
      <c r="AC24" s="360">
        <v>4.601</v>
      </c>
      <c r="AD24" s="361">
        <v>4.7530000000000001</v>
      </c>
      <c r="AE24" s="362"/>
    </row>
    <row r="25" spans="1:33" ht="20.25" customHeight="1" x14ac:dyDescent="0.25">
      <c r="A25" s="338" t="s">
        <v>101</v>
      </c>
      <c r="B25" s="360">
        <v>1.018</v>
      </c>
      <c r="C25" s="355">
        <f>'I&amp;O Calc'!$K$10</f>
        <v>804.89</v>
      </c>
      <c r="D25" s="355">
        <f>'I&amp;O Calc'!$K$20</f>
        <v>255.92</v>
      </c>
      <c r="E25" s="355">
        <f>'I&amp;O Calc'!$K$34</f>
        <v>531.92999999999995</v>
      </c>
      <c r="F25" s="355">
        <f>'I&amp;O Calc'!$K$67</f>
        <v>300.76</v>
      </c>
      <c r="G25" s="356"/>
      <c r="H25" s="355">
        <f>'I&amp;O Calc'!$K$91</f>
        <v>9.42</v>
      </c>
      <c r="I25" s="355">
        <f>'I&amp;O Calc'!$K$112</f>
        <v>132.99</v>
      </c>
      <c r="J25" s="355">
        <f>'I&amp;O Calc'!$K$141</f>
        <v>578.53</v>
      </c>
      <c r="K25" s="355">
        <f>'I&amp;O Calc'!$K$158</f>
        <v>170.92000000000002</v>
      </c>
      <c r="L25" s="355">
        <f>'I&amp;O Calc'!$K$203</f>
        <v>42.88</v>
      </c>
      <c r="M25" s="356"/>
      <c r="N25" s="356"/>
      <c r="O25" s="356"/>
      <c r="P25" s="357">
        <f t="shared" ref="P25:P31" si="2">SUM(C25:O25)</f>
        <v>2828.24</v>
      </c>
      <c r="Q25" s="358">
        <f t="shared" si="0"/>
        <v>9</v>
      </c>
      <c r="R25" s="359">
        <f>'I&amp;O Calc'!$K$324</f>
        <v>2828.24</v>
      </c>
      <c r="S25" s="359">
        <f t="shared" si="1"/>
        <v>0</v>
      </c>
      <c r="V25" s="351" t="s">
        <v>111</v>
      </c>
      <c r="W25" s="355">
        <f>'I&amp;O Calc'!$K$11</f>
        <v>536.55999999999995</v>
      </c>
      <c r="X25" s="355">
        <f>'I&amp;O Calc'!$K$10</f>
        <v>804.89</v>
      </c>
      <c r="Y25" s="356"/>
      <c r="Z25" s="356"/>
      <c r="AA25" s="356"/>
      <c r="AB25" s="356"/>
      <c r="AC25" s="363"/>
      <c r="AD25" s="364">
        <f>'I&amp;O Calc'!$K$9</f>
        <v>892</v>
      </c>
      <c r="AE25" s="365">
        <f t="shared" ref="AE25:AE34" si="3">SUM(W25:AD25)</f>
        <v>2233.4499999999998</v>
      </c>
      <c r="AG25" s="359"/>
    </row>
    <row r="26" spans="1:33" ht="20.25" customHeight="1" x14ac:dyDescent="0.25">
      <c r="A26" s="338" t="s">
        <v>102</v>
      </c>
      <c r="B26" s="360">
        <v>1.75</v>
      </c>
      <c r="C26" s="356"/>
      <c r="D26" s="356"/>
      <c r="E26" s="355">
        <f>'I&amp;O Calc'!K38+'I&amp;O Calc'!K37</f>
        <v>172.82</v>
      </c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7">
        <f t="shared" si="2"/>
        <v>172.82</v>
      </c>
      <c r="Q26" s="358">
        <f t="shared" si="0"/>
        <v>1</v>
      </c>
      <c r="R26" s="359">
        <f>'I&amp;O Calc'!$K$325</f>
        <v>172.82</v>
      </c>
      <c r="S26" s="359">
        <f t="shared" si="1"/>
        <v>0</v>
      </c>
      <c r="V26" s="351" t="s">
        <v>112</v>
      </c>
      <c r="W26" s="355">
        <f>'I&amp;O Calc'!$K$21</f>
        <v>1366.07</v>
      </c>
      <c r="X26" s="355">
        <f>'I&amp;O Calc'!$K$20</f>
        <v>255.92</v>
      </c>
      <c r="Y26" s="356"/>
      <c r="Z26" s="355">
        <f>'I&amp;O Calc'!$K$22+'I&amp;O Calc'!$K$23</f>
        <v>1236.49</v>
      </c>
      <c r="AA26" s="356"/>
      <c r="AB26" s="355">
        <f>'I&amp;O Calc'!$K$24</f>
        <v>53.67</v>
      </c>
      <c r="AC26" s="363"/>
      <c r="AD26" s="364">
        <f>'I&amp;O Calc'!$K$18</f>
        <v>955</v>
      </c>
      <c r="AE26" s="365">
        <f t="shared" si="3"/>
        <v>3867.15</v>
      </c>
      <c r="AG26" s="359"/>
    </row>
    <row r="27" spans="1:33" ht="18" customHeight="1" x14ac:dyDescent="0.25">
      <c r="A27" s="338" t="s">
        <v>103</v>
      </c>
      <c r="B27" s="360">
        <v>1.1379999999999999</v>
      </c>
      <c r="C27" s="356"/>
      <c r="D27" s="355">
        <f>'I&amp;O Calc'!$K$22+'I&amp;O Calc'!$K$23</f>
        <v>1236.49</v>
      </c>
      <c r="E27" s="355">
        <f>'I&amp;O Calc'!$K$41+'I&amp;O Calc'!$K$45</f>
        <v>1648.26</v>
      </c>
      <c r="F27" s="355">
        <f>'I&amp;O Calc'!$K$79+'I&amp;O Calc'!$K$80+'I&amp;O Calc'!K81</f>
        <v>918.65</v>
      </c>
      <c r="G27" s="356"/>
      <c r="H27" s="356"/>
      <c r="I27" s="355">
        <f>'I&amp;O Calc'!$K$119+'I&amp;O Calc'!$K$121</f>
        <v>479.3</v>
      </c>
      <c r="J27" s="356"/>
      <c r="K27" s="355">
        <f>'I&amp;O Calc'!$K$174+'I&amp;O Calc'!$K$179</f>
        <v>2098.8200000000002</v>
      </c>
      <c r="L27" s="355">
        <f>'I&amp;O Calc'!$K$209+'I&amp;O Calc'!$K$212</f>
        <v>372.33</v>
      </c>
      <c r="M27" s="356"/>
      <c r="N27" s="356"/>
      <c r="O27" s="356"/>
      <c r="P27" s="357">
        <f t="shared" si="2"/>
        <v>6753.85</v>
      </c>
      <c r="Q27" s="358">
        <f t="shared" si="0"/>
        <v>6</v>
      </c>
      <c r="R27" s="359">
        <f>'I&amp;O Calc'!$K$326+'I&amp;O Calc'!$K$327</f>
        <v>6753.85</v>
      </c>
      <c r="S27" s="359">
        <f>R27-P27</f>
        <v>0</v>
      </c>
      <c r="V27" s="366" t="s">
        <v>113</v>
      </c>
      <c r="W27" s="355">
        <f>'I&amp;O Calc'!$K$36</f>
        <v>75.7</v>
      </c>
      <c r="X27" s="355">
        <f>'I&amp;O Calc'!$K$34</f>
        <v>531.92999999999995</v>
      </c>
      <c r="Y27" s="355">
        <f>'I&amp;O Calc'!K38+'I&amp;O Calc'!K37</f>
        <v>172.82</v>
      </c>
      <c r="Z27" s="355">
        <f>'I&amp;O Calc'!$K$41+'I&amp;O Calc'!$K$45</f>
        <v>1648.26</v>
      </c>
      <c r="AA27" s="356"/>
      <c r="AB27" s="355">
        <f>'I&amp;O Calc'!$K$53</f>
        <v>1308.3800000000001</v>
      </c>
      <c r="AC27" s="364">
        <f>'I&amp;O Calc'!$K$30</f>
        <v>507</v>
      </c>
      <c r="AD27" s="364">
        <f>'I&amp;O Calc'!$K$29</f>
        <v>979</v>
      </c>
      <c r="AE27" s="365">
        <f t="shared" si="3"/>
        <v>5223.09</v>
      </c>
      <c r="AG27" s="359"/>
    </row>
    <row r="28" spans="1:33" ht="17.25" customHeight="1" x14ac:dyDescent="0.25">
      <c r="A28" s="338" t="s">
        <v>104</v>
      </c>
      <c r="B28" s="360">
        <v>1.67</v>
      </c>
      <c r="C28" s="356"/>
      <c r="D28" s="356"/>
      <c r="E28" s="356"/>
      <c r="F28" s="356"/>
      <c r="G28" s="356"/>
      <c r="H28" s="356"/>
      <c r="I28" s="355">
        <f>'I&amp;O Calc'!$K$126</f>
        <v>675.38</v>
      </c>
      <c r="J28" s="355">
        <f>'I&amp;O Calc'!$K$143</f>
        <v>623.58000000000004</v>
      </c>
      <c r="K28" s="355">
        <f>'I&amp;O Calc'!$K$189</f>
        <v>993.46</v>
      </c>
      <c r="L28" s="356"/>
      <c r="M28" s="356"/>
      <c r="N28" s="356"/>
      <c r="O28" s="356"/>
      <c r="P28" s="357">
        <f t="shared" si="2"/>
        <v>2292.42</v>
      </c>
      <c r="Q28" s="358">
        <f t="shared" si="0"/>
        <v>3</v>
      </c>
      <c r="R28" s="359">
        <f>'I&amp;O Calc'!$K$328</f>
        <v>2292.42</v>
      </c>
      <c r="S28" s="359">
        <f t="shared" ref="S28:S31" si="4">R28-P28</f>
        <v>0</v>
      </c>
      <c r="V28" s="351" t="s">
        <v>114</v>
      </c>
      <c r="W28" s="355">
        <f>'I&amp;O Calc'!$K$74</f>
        <v>1362.2900000000002</v>
      </c>
      <c r="X28" s="355">
        <f>'I&amp;O Calc'!$K$67</f>
        <v>300.76</v>
      </c>
      <c r="Y28" s="356"/>
      <c r="Z28" s="355">
        <f>'I&amp;O Calc'!$K$79+'I&amp;O Calc'!$K$80+'I&amp;O Calc'!$K$81</f>
        <v>918.65</v>
      </c>
      <c r="AA28" s="356"/>
      <c r="AB28" s="356"/>
      <c r="AC28" s="364">
        <f>'I&amp;O Calc'!$K$65</f>
        <v>518</v>
      </c>
      <c r="AD28" s="364">
        <f>'I&amp;O Calc'!$K$60</f>
        <v>860</v>
      </c>
      <c r="AE28" s="365">
        <f t="shared" si="3"/>
        <v>3959.7000000000003</v>
      </c>
      <c r="AG28" s="359"/>
    </row>
    <row r="29" spans="1:33" ht="19.5" customHeight="1" x14ac:dyDescent="0.25">
      <c r="A29" s="338" t="s">
        <v>105</v>
      </c>
      <c r="B29" s="360">
        <v>1.7210000000000001</v>
      </c>
      <c r="C29" s="356"/>
      <c r="D29" s="355">
        <f>'I&amp;O Calc'!$K$24</f>
        <v>53.67</v>
      </c>
      <c r="E29" s="355">
        <f>'I&amp;O Calc'!$K$53</f>
        <v>1308.3800000000001</v>
      </c>
      <c r="F29" s="356"/>
      <c r="G29" s="356"/>
      <c r="H29" s="355">
        <f>'I&amp;O Calc'!$K$92</f>
        <v>59.13</v>
      </c>
      <c r="I29" s="355">
        <f>'I&amp;O Calc'!$K$135</f>
        <v>967.93</v>
      </c>
      <c r="J29" s="355">
        <f>'I&amp;O Calc'!$K$144</f>
        <v>192.18</v>
      </c>
      <c r="K29" s="365">
        <f>'I&amp;O Calc'!$K$193</f>
        <v>96.42</v>
      </c>
      <c r="L29" s="356"/>
      <c r="M29" s="356"/>
      <c r="N29" s="356"/>
      <c r="O29" s="356"/>
      <c r="P29" s="357">
        <f t="shared" si="2"/>
        <v>2677.71</v>
      </c>
      <c r="Q29" s="358">
        <f t="shared" si="0"/>
        <v>6</v>
      </c>
      <c r="R29" s="359">
        <f>'I&amp;O Calc'!$K$329</f>
        <v>2677.71</v>
      </c>
      <c r="S29" s="359">
        <f t="shared" si="4"/>
        <v>0</v>
      </c>
      <c r="V29" s="351" t="s">
        <v>115</v>
      </c>
      <c r="W29" s="355">
        <f>'I&amp;O Calc'!$K$86</f>
        <v>392.45</v>
      </c>
      <c r="X29" s="356"/>
      <c r="Y29" s="356"/>
      <c r="Z29" s="356"/>
      <c r="AA29" s="356"/>
      <c r="AB29" s="356"/>
      <c r="AC29" s="363"/>
      <c r="AD29" s="363"/>
      <c r="AE29" s="365">
        <f t="shared" si="3"/>
        <v>392.45</v>
      </c>
      <c r="AG29" s="359"/>
    </row>
    <row r="30" spans="1:33" ht="18" customHeight="1" x14ac:dyDescent="0.25">
      <c r="A30" s="338" t="s">
        <v>106</v>
      </c>
      <c r="B30" s="360">
        <v>4.601</v>
      </c>
      <c r="C30" s="356"/>
      <c r="D30" s="356"/>
      <c r="E30" s="355">
        <f>'I&amp;O Calc'!$K$30</f>
        <v>507</v>
      </c>
      <c r="F30" s="355">
        <f>'I&amp;O Calc'!$K$65</f>
        <v>518</v>
      </c>
      <c r="G30" s="356"/>
      <c r="H30" s="356"/>
      <c r="I30" s="355">
        <f>'I&amp;O Calc'!$K$104</f>
        <v>507</v>
      </c>
      <c r="J30" s="356"/>
      <c r="K30" s="356"/>
      <c r="L30" s="356"/>
      <c r="M30" s="356"/>
      <c r="N30" s="356"/>
      <c r="O30" s="356"/>
      <c r="P30" s="357">
        <f t="shared" si="2"/>
        <v>1532</v>
      </c>
      <c r="Q30" s="358">
        <f t="shared" si="0"/>
        <v>3</v>
      </c>
      <c r="R30" s="359">
        <f>'I&amp;O Calc'!$K$330</f>
        <v>1532</v>
      </c>
      <c r="S30" s="359">
        <f t="shared" si="4"/>
        <v>0</v>
      </c>
      <c r="V30" s="351" t="s">
        <v>116</v>
      </c>
      <c r="W30" s="356"/>
      <c r="X30" s="355">
        <f>'I&amp;O Calc'!$K$91</f>
        <v>9.42</v>
      </c>
      <c r="Y30" s="356"/>
      <c r="Z30" s="356"/>
      <c r="AA30" s="356"/>
      <c r="AB30" s="355">
        <f>'I&amp;O Calc'!$K$92</f>
        <v>59.13</v>
      </c>
      <c r="AC30" s="363"/>
      <c r="AD30" s="363"/>
      <c r="AE30" s="365">
        <f t="shared" si="3"/>
        <v>68.55</v>
      </c>
      <c r="AG30" s="359"/>
    </row>
    <row r="31" spans="1:33" ht="19.5" customHeight="1" x14ac:dyDescent="0.25">
      <c r="A31" s="367" t="s">
        <v>107</v>
      </c>
      <c r="B31" s="361">
        <v>4.7530000000000001</v>
      </c>
      <c r="C31" s="355">
        <f>'I&amp;O Calc'!$K$9</f>
        <v>892</v>
      </c>
      <c r="D31" s="355">
        <f>'I&amp;O Calc'!$K$18</f>
        <v>955</v>
      </c>
      <c r="E31" s="355">
        <f>'I&amp;O Calc'!$K$29</f>
        <v>979</v>
      </c>
      <c r="F31" s="355">
        <f>'I&amp;O Calc'!$K$60</f>
        <v>860</v>
      </c>
      <c r="G31" s="356"/>
      <c r="H31" s="356"/>
      <c r="I31" s="355">
        <f>'I&amp;O Calc'!$K$102</f>
        <v>582</v>
      </c>
      <c r="J31" s="355">
        <f>'I&amp;O Calc'!$K$140</f>
        <v>945</v>
      </c>
      <c r="K31" s="365">
        <f>'I&amp;O Calc'!$K$152</f>
        <v>737</v>
      </c>
      <c r="L31" s="365">
        <f>'I&amp;O Calc'!$K$200</f>
        <v>425</v>
      </c>
      <c r="M31" s="365">
        <f>'I&amp;O Calc'!$K$227</f>
        <v>194</v>
      </c>
      <c r="N31" s="365">
        <f>'I&amp;O Calc'!$K$258</f>
        <v>221</v>
      </c>
      <c r="O31" s="365">
        <f>'I&amp;O Calc'!$K$284</f>
        <v>30</v>
      </c>
      <c r="P31" s="368">
        <f t="shared" si="2"/>
        <v>6820</v>
      </c>
      <c r="Q31" s="358">
        <f>COUNTA(C31:N31)</f>
        <v>10</v>
      </c>
      <c r="R31" s="359">
        <f>'I&amp;O Calc'!$K$331</f>
        <v>6820</v>
      </c>
      <c r="S31" s="359">
        <f t="shared" si="4"/>
        <v>0</v>
      </c>
      <c r="V31" s="351" t="s">
        <v>117</v>
      </c>
      <c r="W31" s="355">
        <f>'I&amp;O Calc'!$K$114</f>
        <v>64.97</v>
      </c>
      <c r="X31" s="355">
        <f>'I&amp;O Calc'!$K$112</f>
        <v>132.99</v>
      </c>
      <c r="Y31" s="356"/>
      <c r="Z31" s="355">
        <f>'I&amp;O Calc'!$K$119+'I&amp;O Calc'!$K$121</f>
        <v>479.3</v>
      </c>
      <c r="AA31" s="355">
        <f>'I&amp;O Calc'!$K$126</f>
        <v>675.38</v>
      </c>
      <c r="AB31" s="355">
        <f>'I&amp;O Calc'!$K$135</f>
        <v>967.93</v>
      </c>
      <c r="AC31" s="364">
        <f>'I&amp;O Calc'!$K$104</f>
        <v>507</v>
      </c>
      <c r="AD31" s="364">
        <f>'I&amp;O Calc'!$K$102</f>
        <v>582</v>
      </c>
      <c r="AE31" s="365">
        <f t="shared" si="3"/>
        <v>3409.5699999999997</v>
      </c>
      <c r="AG31" s="359"/>
    </row>
    <row r="32" spans="1:33" ht="24.75" customHeight="1" x14ac:dyDescent="0.25">
      <c r="A32" s="338" t="s">
        <v>126</v>
      </c>
      <c r="B32" s="335"/>
      <c r="C32" s="334">
        <f t="shared" ref="C32:P32" si="5">SUM(C24:C31)</f>
        <v>2233.4499999999998</v>
      </c>
      <c r="D32" s="334">
        <f t="shared" si="5"/>
        <v>3867.15</v>
      </c>
      <c r="E32" s="334">
        <f t="shared" si="5"/>
        <v>5223.09</v>
      </c>
      <c r="F32" s="334">
        <f t="shared" si="5"/>
        <v>3959.7000000000003</v>
      </c>
      <c r="G32" s="334">
        <f t="shared" si="5"/>
        <v>392.45</v>
      </c>
      <c r="H32" s="334">
        <f t="shared" si="5"/>
        <v>68.55</v>
      </c>
      <c r="I32" s="334">
        <f t="shared" si="5"/>
        <v>3409.5699999999997</v>
      </c>
      <c r="J32" s="334">
        <f t="shared" si="5"/>
        <v>2943.62</v>
      </c>
      <c r="K32" s="334">
        <f t="shared" si="5"/>
        <v>6148.3200000000006</v>
      </c>
      <c r="L32" s="334">
        <f t="shared" si="5"/>
        <v>840.21</v>
      </c>
      <c r="M32" s="334">
        <f t="shared" ref="M32:O32" si="6">SUM(M24:M31)</f>
        <v>194</v>
      </c>
      <c r="N32" s="334">
        <f t="shared" si="6"/>
        <v>221</v>
      </c>
      <c r="O32" s="334">
        <f t="shared" si="6"/>
        <v>30</v>
      </c>
      <c r="P32" s="369">
        <f t="shared" si="5"/>
        <v>29531.11</v>
      </c>
      <c r="Q32" s="334"/>
      <c r="R32" s="359">
        <f>'I&amp;O Calc'!$K$332</f>
        <v>29531.11</v>
      </c>
      <c r="S32" s="359">
        <f>R32-P32</f>
        <v>0</v>
      </c>
      <c r="V32" s="351" t="s">
        <v>118</v>
      </c>
      <c r="W32" s="355">
        <f>'I&amp;O Calc'!$K$142</f>
        <v>604.33000000000004</v>
      </c>
      <c r="X32" s="355">
        <f>'I&amp;O Calc'!$K$141</f>
        <v>578.53</v>
      </c>
      <c r="Y32" s="356"/>
      <c r="Z32" s="356"/>
      <c r="AA32" s="355">
        <f>'I&amp;O Calc'!$K$143</f>
        <v>623.58000000000004</v>
      </c>
      <c r="AB32" s="355">
        <f>'I&amp;O Calc'!$K$144</f>
        <v>192.18</v>
      </c>
      <c r="AC32" s="363"/>
      <c r="AD32" s="364">
        <f>'I&amp;O Calc'!$K$140</f>
        <v>945</v>
      </c>
      <c r="AE32" s="365">
        <f t="shared" si="3"/>
        <v>2943.62</v>
      </c>
      <c r="AG32" s="359"/>
    </row>
    <row r="33" spans="1:33" ht="18" customHeight="1" x14ac:dyDescent="0.2">
      <c r="B33" s="335"/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Q33" s="370" t="str">
        <f>IF(P32&lt;&gt;'I&amp;O Calc'!K308,"Error","")</f>
        <v/>
      </c>
      <c r="V33" s="351" t="s">
        <v>119</v>
      </c>
      <c r="W33" s="355">
        <f>'I&amp;O Calc'!$K$164</f>
        <v>2051.6999999999998</v>
      </c>
      <c r="X33" s="355">
        <f>'I&amp;O Calc'!$K$158</f>
        <v>170.92000000000002</v>
      </c>
      <c r="Y33" s="356"/>
      <c r="Z33" s="355">
        <f>'I&amp;O Calc'!$K$174+'I&amp;O Calc'!$K$179</f>
        <v>2098.8200000000002</v>
      </c>
      <c r="AA33" s="355">
        <f>'I&amp;O Calc'!$K$189</f>
        <v>993.46</v>
      </c>
      <c r="AB33" s="365">
        <f>'I&amp;O Calc'!$K$193</f>
        <v>96.42</v>
      </c>
      <c r="AC33" s="363"/>
      <c r="AD33" s="371">
        <f>'I&amp;O Calc'!$K$152</f>
        <v>737</v>
      </c>
      <c r="AE33" s="365">
        <f t="shared" si="3"/>
        <v>6148.3200000000006</v>
      </c>
      <c r="AG33" s="359"/>
    </row>
    <row r="34" spans="1:33" ht="19.5" customHeight="1" x14ac:dyDescent="0.2">
      <c r="A34" s="338" t="s">
        <v>127</v>
      </c>
      <c r="B34" s="335"/>
      <c r="C34" s="334">
        <f>'I&amp;O Calc'!$K$340</f>
        <v>2233.4499999999998</v>
      </c>
      <c r="D34" s="334">
        <f>'I&amp;O Calc'!$K$341</f>
        <v>3867.1500000000005</v>
      </c>
      <c r="E34" s="334">
        <f>'I&amp;O Calc'!$K$342</f>
        <v>5223.0899999999992</v>
      </c>
      <c r="F34" s="334">
        <f>'I&amp;O Calc'!$K$343</f>
        <v>3959.7</v>
      </c>
      <c r="G34" s="334">
        <f>'I&amp;O Calc'!$K$344</f>
        <v>392.45</v>
      </c>
      <c r="H34" s="334">
        <f>'I&amp;O Calc'!$K$345</f>
        <v>68.55</v>
      </c>
      <c r="I34" s="334">
        <f>'I&amp;O Calc'!$K$346</f>
        <v>3409.5700000000006</v>
      </c>
      <c r="J34" s="334">
        <f>'I&amp;O Calc'!$K$347</f>
        <v>2943.62</v>
      </c>
      <c r="K34" s="334">
        <f>'I&amp;O Calc'!$K$348</f>
        <v>6148.32</v>
      </c>
      <c r="L34" s="334">
        <f>'I&amp;O Calc'!$K$349</f>
        <v>840.20999999999992</v>
      </c>
      <c r="M34" s="334">
        <f>'I&amp;O Calc'!$K$350</f>
        <v>194</v>
      </c>
      <c r="N34" s="334">
        <f>'I&amp;O Calc'!$K$351</f>
        <v>221</v>
      </c>
      <c r="O34" s="334">
        <f>'I&amp;O Calc'!$K$352</f>
        <v>30</v>
      </c>
      <c r="P34" s="334">
        <f>'I&amp;O Calc'!$K$354</f>
        <v>29531.109999999997</v>
      </c>
      <c r="Q34" s="335"/>
      <c r="V34" s="351" t="s">
        <v>120</v>
      </c>
      <c r="W34" s="356"/>
      <c r="X34" s="355">
        <f>'I&amp;O Calc'!$K$203</f>
        <v>42.88</v>
      </c>
      <c r="Y34" s="356"/>
      <c r="Z34" s="355">
        <f>'I&amp;O Calc'!$K$209+'I&amp;O Calc'!$K$212</f>
        <v>372.33</v>
      </c>
      <c r="AA34" s="356"/>
      <c r="AB34" s="356"/>
      <c r="AC34" s="363"/>
      <c r="AD34" s="371">
        <f>'I&amp;O Calc'!$K$200</f>
        <v>425</v>
      </c>
      <c r="AE34" s="365">
        <f t="shared" si="3"/>
        <v>840.21</v>
      </c>
      <c r="AG34" s="359"/>
    </row>
    <row r="35" spans="1:33" ht="15.75" customHeight="1" x14ac:dyDescent="0.2">
      <c r="B35" s="335"/>
      <c r="C35" s="334">
        <f>C34-C32</f>
        <v>0</v>
      </c>
      <c r="D35" s="334">
        <f t="shared" ref="D35:P35" si="7">D34-D32</f>
        <v>0</v>
      </c>
      <c r="E35" s="334">
        <f t="shared" si="7"/>
        <v>0</v>
      </c>
      <c r="F35" s="334">
        <f t="shared" si="7"/>
        <v>0</v>
      </c>
      <c r="G35" s="334">
        <f t="shared" si="7"/>
        <v>0</v>
      </c>
      <c r="H35" s="334">
        <f t="shared" si="7"/>
        <v>0</v>
      </c>
      <c r="I35" s="334">
        <f t="shared" si="7"/>
        <v>0</v>
      </c>
      <c r="J35" s="334">
        <f t="shared" si="7"/>
        <v>0</v>
      </c>
      <c r="K35" s="334">
        <f t="shared" si="7"/>
        <v>0</v>
      </c>
      <c r="L35" s="334">
        <f t="shared" si="7"/>
        <v>0</v>
      </c>
      <c r="M35" s="334">
        <f t="shared" si="7"/>
        <v>0</v>
      </c>
      <c r="N35" s="334">
        <f t="shared" si="7"/>
        <v>0</v>
      </c>
      <c r="O35" s="334">
        <f t="shared" si="7"/>
        <v>0</v>
      </c>
      <c r="P35" s="334">
        <f t="shared" si="7"/>
        <v>0</v>
      </c>
      <c r="Q35" s="335"/>
      <c r="V35" s="351" t="s">
        <v>121</v>
      </c>
      <c r="W35" s="355">
        <f>'I&amp;O Calc'!$K$235</f>
        <v>0</v>
      </c>
      <c r="X35" s="355">
        <f>'I&amp;O Calc'!$K$231</f>
        <v>0</v>
      </c>
      <c r="Y35" s="356"/>
      <c r="Z35" s="355">
        <f>'I&amp;O Calc'!$K$239+'I&amp;O Calc'!$K$243</f>
        <v>0</v>
      </c>
      <c r="AA35" s="355">
        <f>'I&amp;O Calc'!$K$247</f>
        <v>0</v>
      </c>
      <c r="AB35" s="365">
        <f>'I&amp;O Calc'!$K$249</f>
        <v>0</v>
      </c>
      <c r="AC35" s="356"/>
      <c r="AD35" s="371">
        <f>'I&amp;O Calc'!$K$227</f>
        <v>194</v>
      </c>
      <c r="AE35" s="365">
        <f t="shared" ref="AE35" si="8">SUM(W35:AD35)</f>
        <v>194</v>
      </c>
    </row>
    <row r="36" spans="1:33" ht="15.75" customHeight="1" x14ac:dyDescent="0.2">
      <c r="B36" s="335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5"/>
      <c r="V36" s="351" t="s">
        <v>122</v>
      </c>
      <c r="W36" s="355">
        <f>'I&amp;O Calc'!$K$266</f>
        <v>0</v>
      </c>
      <c r="X36" s="355">
        <f>'I&amp;O Calc'!$K$262</f>
        <v>0</v>
      </c>
      <c r="Y36" s="356"/>
      <c r="Z36" s="355">
        <f>'I&amp;O Calc'!$K$270+'I&amp;O Calc'!$K$274</f>
        <v>0</v>
      </c>
      <c r="AA36" s="356"/>
      <c r="AB36" s="365">
        <f>'I&amp;O Calc'!$K$276</f>
        <v>0</v>
      </c>
      <c r="AC36" s="356"/>
      <c r="AD36" s="371">
        <f>'I&amp;O Calc'!$K$258</f>
        <v>221</v>
      </c>
      <c r="AE36" s="365">
        <f>SUM(W36:AD36)</f>
        <v>221</v>
      </c>
    </row>
    <row r="37" spans="1:33" ht="15.75" customHeight="1" x14ac:dyDescent="0.2">
      <c r="B37" s="335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5"/>
      <c r="V37" s="351" t="s">
        <v>123</v>
      </c>
      <c r="W37" s="355">
        <f>'I&amp;O Calc'!$K$266</f>
        <v>0</v>
      </c>
      <c r="X37" s="355">
        <f>'I&amp;O Calc'!$K$262</f>
        <v>0</v>
      </c>
      <c r="Y37" s="356"/>
      <c r="Z37" s="355">
        <f>'I&amp;O Calc'!$K$270+'I&amp;O Calc'!$K$274</f>
        <v>0</v>
      </c>
      <c r="AA37" s="356"/>
      <c r="AB37" s="365">
        <f>'I&amp;O Calc'!$K$276</f>
        <v>0</v>
      </c>
      <c r="AC37" s="356"/>
      <c r="AD37" s="371">
        <f>'I&amp;O Calc'!$K$284</f>
        <v>30</v>
      </c>
      <c r="AE37" s="365">
        <f t="shared" ref="AE37" si="9">SUM(W37:AD37)</f>
        <v>30</v>
      </c>
    </row>
    <row r="38" spans="1:33" ht="93.75" customHeight="1" x14ac:dyDescent="0.25">
      <c r="A38" s="346" t="s">
        <v>128</v>
      </c>
      <c r="B38" s="347" t="s">
        <v>110</v>
      </c>
      <c r="C38" s="348" t="s">
        <v>111</v>
      </c>
      <c r="D38" s="348" t="s">
        <v>112</v>
      </c>
      <c r="E38" s="349" t="s">
        <v>113</v>
      </c>
      <c r="F38" s="348" t="s">
        <v>114</v>
      </c>
      <c r="G38" s="348" t="s">
        <v>115</v>
      </c>
      <c r="H38" s="348" t="s">
        <v>116</v>
      </c>
      <c r="I38" s="348" t="s">
        <v>117</v>
      </c>
      <c r="J38" s="348" t="s">
        <v>118</v>
      </c>
      <c r="K38" s="348" t="s">
        <v>119</v>
      </c>
      <c r="L38" s="348" t="s">
        <v>120</v>
      </c>
      <c r="M38" s="348" t="s">
        <v>121</v>
      </c>
      <c r="N38" s="348" t="s">
        <v>122</v>
      </c>
      <c r="O38" s="348" t="s">
        <v>123</v>
      </c>
      <c r="P38" s="350" t="s">
        <v>124</v>
      </c>
      <c r="Q38" s="335"/>
      <c r="V38" s="350" t="s">
        <v>124</v>
      </c>
      <c r="W38" s="357">
        <f t="shared" ref="W38:AD38" si="10">SUM(W25:W37)</f>
        <v>6454.07</v>
      </c>
      <c r="X38" s="357">
        <f t="shared" si="10"/>
        <v>2828.24</v>
      </c>
      <c r="Y38" s="357">
        <f t="shared" si="10"/>
        <v>172.82</v>
      </c>
      <c r="Z38" s="357">
        <f t="shared" si="10"/>
        <v>6753.85</v>
      </c>
      <c r="AA38" s="357">
        <f t="shared" si="10"/>
        <v>2292.42</v>
      </c>
      <c r="AB38" s="357">
        <f t="shared" si="10"/>
        <v>2677.71</v>
      </c>
      <c r="AC38" s="372">
        <f t="shared" si="10"/>
        <v>1532</v>
      </c>
      <c r="AD38" s="373">
        <f t="shared" si="10"/>
        <v>6820</v>
      </c>
      <c r="AE38" s="368">
        <f>SUM(W38:AD38)</f>
        <v>29531.11</v>
      </c>
    </row>
    <row r="39" spans="1:33" ht="15.75" customHeight="1" x14ac:dyDescent="0.25">
      <c r="A39" s="333" t="s">
        <v>100</v>
      </c>
      <c r="B39" s="354">
        <v>1</v>
      </c>
      <c r="C39" s="355">
        <f>$B39*C24</f>
        <v>536.55999999999995</v>
      </c>
      <c r="D39" s="355">
        <f>$B39*D24</f>
        <v>1366.07</v>
      </c>
      <c r="E39" s="355">
        <f>$B39*E24</f>
        <v>75.7</v>
      </c>
      <c r="F39" s="355">
        <f>$B39*F24</f>
        <v>1362.2900000000002</v>
      </c>
      <c r="G39" s="355">
        <f>$B39*G24</f>
        <v>392.45</v>
      </c>
      <c r="H39" s="356"/>
      <c r="I39" s="355">
        <f t="shared" ref="I39:K40" si="11">$B39*I24</f>
        <v>64.97</v>
      </c>
      <c r="J39" s="355">
        <f t="shared" si="11"/>
        <v>604.33000000000004</v>
      </c>
      <c r="K39" s="355">
        <f t="shared" si="11"/>
        <v>2051.6999999999998</v>
      </c>
      <c r="L39" s="356"/>
      <c r="M39" s="356"/>
      <c r="N39" s="356"/>
      <c r="O39" s="356"/>
      <c r="P39" s="357">
        <f>SUM(C39:O39)</f>
        <v>6454.07</v>
      </c>
      <c r="Q39" s="335"/>
      <c r="V39" s="351" t="s">
        <v>125</v>
      </c>
      <c r="W39" s="358">
        <f t="shared" ref="W39:AD39" si="12">COUNTA(W25:W37)</f>
        <v>11</v>
      </c>
      <c r="X39" s="358">
        <f t="shared" si="12"/>
        <v>12</v>
      </c>
      <c r="Y39" s="358">
        <f t="shared" si="12"/>
        <v>1</v>
      </c>
      <c r="Z39" s="358">
        <f t="shared" si="12"/>
        <v>9</v>
      </c>
      <c r="AA39" s="358">
        <f t="shared" si="12"/>
        <v>4</v>
      </c>
      <c r="AB39" s="358">
        <f t="shared" si="12"/>
        <v>9</v>
      </c>
      <c r="AC39" s="358">
        <f t="shared" si="12"/>
        <v>3</v>
      </c>
      <c r="AD39" s="358">
        <f t="shared" si="12"/>
        <v>11</v>
      </c>
      <c r="AE39" s="374" t="str">
        <f>IF(AE38&lt;&gt;P32,"Error","Ok")</f>
        <v>Ok</v>
      </c>
    </row>
    <row r="40" spans="1:33" ht="15.75" customHeight="1" x14ac:dyDescent="0.25">
      <c r="A40" s="338" t="s">
        <v>101</v>
      </c>
      <c r="B40" s="360">
        <v>1.018</v>
      </c>
      <c r="C40" s="355">
        <f>$B40*C25</f>
        <v>819.37801999999999</v>
      </c>
      <c r="D40" s="355">
        <f>$B40*D25</f>
        <v>260.52656000000002</v>
      </c>
      <c r="E40" s="355">
        <f>$B40*E25</f>
        <v>541.50473999999997</v>
      </c>
      <c r="F40" s="355">
        <f>$B40*F25</f>
        <v>306.17367999999999</v>
      </c>
      <c r="G40" s="356"/>
      <c r="H40" s="355">
        <f>$B40*H25</f>
        <v>9.5895600000000005</v>
      </c>
      <c r="I40" s="355">
        <f t="shared" si="11"/>
        <v>135.38382000000001</v>
      </c>
      <c r="J40" s="355">
        <f t="shared" si="11"/>
        <v>588.94353999999998</v>
      </c>
      <c r="K40" s="355">
        <f t="shared" si="11"/>
        <v>173.99656000000002</v>
      </c>
      <c r="L40" s="355">
        <f>$B40*L25</f>
        <v>43.65184</v>
      </c>
      <c r="M40" s="356"/>
      <c r="N40" s="356"/>
      <c r="O40" s="356"/>
      <c r="P40" s="357">
        <f t="shared" ref="P40:P46" si="13">SUM(C40:O40)</f>
        <v>2879.1483199999993</v>
      </c>
      <c r="Q40" s="335"/>
      <c r="AE40" s="359">
        <f>AE38-P32</f>
        <v>0</v>
      </c>
    </row>
    <row r="41" spans="1:33" ht="15.75" customHeight="1" x14ac:dyDescent="0.25">
      <c r="A41" s="338" t="s">
        <v>102</v>
      </c>
      <c r="B41" s="360">
        <v>1.75</v>
      </c>
      <c r="C41" s="356"/>
      <c r="D41" s="356"/>
      <c r="E41" s="355">
        <f>$B41*E26</f>
        <v>302.435</v>
      </c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7">
        <f t="shared" si="13"/>
        <v>302.435</v>
      </c>
      <c r="Q41" s="335"/>
      <c r="AE41" s="359"/>
    </row>
    <row r="42" spans="1:33" ht="15.75" customHeight="1" x14ac:dyDescent="0.25">
      <c r="A42" s="338" t="s">
        <v>103</v>
      </c>
      <c r="B42" s="360">
        <v>1.1379999999999999</v>
      </c>
      <c r="C42" s="356"/>
      <c r="D42" s="355">
        <f>$B42*D27</f>
        <v>1407.1256199999998</v>
      </c>
      <c r="E42" s="355">
        <f>$B42*E27</f>
        <v>1875.7198799999999</v>
      </c>
      <c r="F42" s="355">
        <f>$B42*F27</f>
        <v>1045.4236999999998</v>
      </c>
      <c r="G42" s="356"/>
      <c r="H42" s="356"/>
      <c r="I42" s="355">
        <f t="shared" ref="I42:J46" si="14">$B42*I27</f>
        <v>545.4434</v>
      </c>
      <c r="J42" s="356"/>
      <c r="K42" s="355">
        <f t="shared" ref="K42:K44" si="15">$B42*K27</f>
        <v>2388.4571599999999</v>
      </c>
      <c r="L42" s="355">
        <f>$B42*L27</f>
        <v>423.71153999999996</v>
      </c>
      <c r="M42" s="356"/>
      <c r="N42" s="356"/>
      <c r="O42" s="356"/>
      <c r="P42" s="357">
        <f t="shared" si="13"/>
        <v>7685.8812999999991</v>
      </c>
      <c r="Q42" s="335"/>
      <c r="AE42" s="359"/>
    </row>
    <row r="43" spans="1:33" ht="15.75" customHeight="1" x14ac:dyDescent="0.25">
      <c r="A43" s="338" t="s">
        <v>104</v>
      </c>
      <c r="B43" s="360">
        <v>1.67</v>
      </c>
      <c r="C43" s="356"/>
      <c r="D43" s="356"/>
      <c r="E43" s="356"/>
      <c r="F43" s="356"/>
      <c r="G43" s="356"/>
      <c r="H43" s="356"/>
      <c r="I43" s="355">
        <f t="shared" si="14"/>
        <v>1127.8845999999999</v>
      </c>
      <c r="J43" s="355">
        <f t="shared" si="14"/>
        <v>1041.3786</v>
      </c>
      <c r="K43" s="355">
        <f t="shared" si="15"/>
        <v>1659.0781999999999</v>
      </c>
      <c r="L43" s="356"/>
      <c r="M43" s="356"/>
      <c r="N43" s="356"/>
      <c r="O43" s="356"/>
      <c r="P43" s="357">
        <f t="shared" si="13"/>
        <v>3828.3413999999998</v>
      </c>
      <c r="Q43" s="335"/>
      <c r="AE43" s="359"/>
    </row>
    <row r="44" spans="1:33" ht="15.75" customHeight="1" x14ac:dyDescent="0.25">
      <c r="A44" s="338" t="s">
        <v>105</v>
      </c>
      <c r="B44" s="360">
        <v>1.7210000000000001</v>
      </c>
      <c r="C44" s="356"/>
      <c r="D44" s="355">
        <f>$B44*D29</f>
        <v>92.366070000000008</v>
      </c>
      <c r="E44" s="355">
        <f>$B44*E29</f>
        <v>2251.7219800000003</v>
      </c>
      <c r="F44" s="356"/>
      <c r="G44" s="356"/>
      <c r="H44" s="355">
        <f>$B44*H29</f>
        <v>101.76273</v>
      </c>
      <c r="I44" s="355">
        <f t="shared" si="14"/>
        <v>1665.80753</v>
      </c>
      <c r="J44" s="355">
        <f t="shared" si="14"/>
        <v>330.74178000000001</v>
      </c>
      <c r="K44" s="355">
        <f t="shared" si="15"/>
        <v>165.93882000000002</v>
      </c>
      <c r="L44" s="356"/>
      <c r="M44" s="356"/>
      <c r="N44" s="356"/>
      <c r="O44" s="356"/>
      <c r="P44" s="357">
        <f t="shared" si="13"/>
        <v>4608.3389100000013</v>
      </c>
      <c r="Q44" s="335"/>
      <c r="AE44" s="359"/>
    </row>
    <row r="45" spans="1:33" ht="15.75" customHeight="1" x14ac:dyDescent="0.25">
      <c r="A45" s="338" t="s">
        <v>106</v>
      </c>
      <c r="B45" s="360">
        <v>4.601</v>
      </c>
      <c r="C45" s="356"/>
      <c r="D45" s="356"/>
      <c r="E45" s="355">
        <f>$B45*E30</f>
        <v>2332.7069999999999</v>
      </c>
      <c r="F45" s="355">
        <f>$B45*F30</f>
        <v>2383.3180000000002</v>
      </c>
      <c r="G45" s="356"/>
      <c r="H45" s="356"/>
      <c r="I45" s="355">
        <f t="shared" si="14"/>
        <v>2332.7069999999999</v>
      </c>
      <c r="J45" s="356"/>
      <c r="K45" s="356"/>
      <c r="L45" s="356"/>
      <c r="M45" s="356"/>
      <c r="N45" s="356"/>
      <c r="O45" s="356"/>
      <c r="P45" s="357">
        <f t="shared" si="13"/>
        <v>7048.732</v>
      </c>
      <c r="Q45" s="335"/>
      <c r="AE45" s="359"/>
    </row>
    <row r="46" spans="1:33" ht="15.75" customHeight="1" x14ac:dyDescent="0.25">
      <c r="A46" s="367" t="s">
        <v>107</v>
      </c>
      <c r="B46" s="361">
        <v>4.7530000000000001</v>
      </c>
      <c r="C46" s="355">
        <f>$B46*C31</f>
        <v>4239.6760000000004</v>
      </c>
      <c r="D46" s="355">
        <f>$B46*D31</f>
        <v>4539.1149999999998</v>
      </c>
      <c r="E46" s="355">
        <f>$B46*E31</f>
        <v>4653.1869999999999</v>
      </c>
      <c r="F46" s="355">
        <f>$B46*F31</f>
        <v>4087.58</v>
      </c>
      <c r="G46" s="356"/>
      <c r="H46" s="356"/>
      <c r="I46" s="355">
        <f t="shared" si="14"/>
        <v>2766.2460000000001</v>
      </c>
      <c r="J46" s="355">
        <f>$B46*J31</f>
        <v>4491.585</v>
      </c>
      <c r="K46" s="355">
        <f>$B46*K31</f>
        <v>3502.9610000000002</v>
      </c>
      <c r="L46" s="355">
        <f t="shared" ref="L46:O46" si="16">$B46*L31</f>
        <v>2020.0250000000001</v>
      </c>
      <c r="M46" s="355">
        <f t="shared" si="16"/>
        <v>922.08199999999999</v>
      </c>
      <c r="N46" s="355">
        <f t="shared" si="16"/>
        <v>1050.413</v>
      </c>
      <c r="O46" s="355">
        <f t="shared" si="16"/>
        <v>142.59</v>
      </c>
      <c r="P46" s="368">
        <f t="shared" si="13"/>
        <v>32415.46</v>
      </c>
      <c r="Q46" s="335"/>
      <c r="AE46" s="359"/>
    </row>
    <row r="47" spans="1:33" ht="15.75" customHeight="1" x14ac:dyDescent="0.25">
      <c r="A47" s="338" t="s">
        <v>129</v>
      </c>
      <c r="B47" s="335"/>
      <c r="C47" s="334">
        <f t="shared" ref="C47:P47" si="17">SUM(C39:C46)</f>
        <v>5595.6140200000009</v>
      </c>
      <c r="D47" s="334">
        <f t="shared" si="17"/>
        <v>7665.2032499999996</v>
      </c>
      <c r="E47" s="334">
        <f t="shared" si="17"/>
        <v>12032.9756</v>
      </c>
      <c r="F47" s="334">
        <f t="shared" si="17"/>
        <v>9184.7853800000012</v>
      </c>
      <c r="G47" s="334">
        <f t="shared" si="17"/>
        <v>392.45</v>
      </c>
      <c r="H47" s="334">
        <f t="shared" si="17"/>
        <v>111.35229000000001</v>
      </c>
      <c r="I47" s="334">
        <f t="shared" si="17"/>
        <v>8638.4423500000012</v>
      </c>
      <c r="J47" s="334">
        <f t="shared" si="17"/>
        <v>7056.9789199999996</v>
      </c>
      <c r="K47" s="334">
        <f t="shared" si="17"/>
        <v>9942.1317400000007</v>
      </c>
      <c r="L47" s="334">
        <f t="shared" si="17"/>
        <v>2487.3883799999999</v>
      </c>
      <c r="M47" s="334">
        <f t="shared" si="17"/>
        <v>922.08199999999999</v>
      </c>
      <c r="N47" s="334">
        <f t="shared" si="17"/>
        <v>1050.413</v>
      </c>
      <c r="O47" s="334">
        <f t="shared" si="17"/>
        <v>142.59</v>
      </c>
      <c r="P47" s="369">
        <f t="shared" si="17"/>
        <v>65222.406930000005</v>
      </c>
      <c r="Q47" s="335"/>
      <c r="AE47" s="359"/>
    </row>
    <row r="48" spans="1:33" ht="15.75" customHeight="1" x14ac:dyDescent="0.2">
      <c r="B48" s="335"/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35"/>
      <c r="AE48" s="359"/>
    </row>
    <row r="49" spans="2:31" ht="15.75" customHeight="1" x14ac:dyDescent="0.2">
      <c r="B49" s="335"/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5"/>
      <c r="AE49" s="359"/>
    </row>
    <row r="50" spans="2:31" ht="15.75" customHeight="1" x14ac:dyDescent="0.2">
      <c r="B50" s="335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5"/>
      <c r="AE50" s="359"/>
    </row>
    <row r="51" spans="2:31" ht="15.75" customHeight="1" x14ac:dyDescent="0.2">
      <c r="B51" s="335"/>
      <c r="C51" s="334"/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334"/>
      <c r="P51" s="334"/>
      <c r="Q51" s="335"/>
      <c r="AE51" s="359"/>
    </row>
    <row r="52" spans="2:31" ht="15.75" customHeight="1" x14ac:dyDescent="0.2">
      <c r="B52" s="335"/>
      <c r="C52" s="334"/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35"/>
      <c r="AE52" s="359"/>
    </row>
    <row r="53" spans="2:31" ht="15.75" customHeight="1" x14ac:dyDescent="0.2">
      <c r="B53" s="335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5"/>
      <c r="AE53" s="359"/>
    </row>
    <row r="54" spans="2:31" ht="15.75" customHeight="1" x14ac:dyDescent="0.2">
      <c r="B54" s="335"/>
      <c r="C54" s="334"/>
      <c r="D54" s="33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5"/>
      <c r="AE54" s="359"/>
    </row>
    <row r="55" spans="2:31" ht="15.75" customHeight="1" x14ac:dyDescent="0.2">
      <c r="B55" s="335"/>
      <c r="C55" s="334"/>
      <c r="D55" s="33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5"/>
      <c r="AE55" s="359"/>
    </row>
    <row r="56" spans="2:31" ht="15.75" customHeight="1" x14ac:dyDescent="0.2">
      <c r="B56" s="335"/>
      <c r="C56" s="334"/>
      <c r="D56" s="33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5"/>
      <c r="AE56" s="359"/>
    </row>
    <row r="57" spans="2:31" ht="15.75" customHeight="1" x14ac:dyDescent="0.2">
      <c r="B57" s="335"/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5"/>
      <c r="AE57" s="359"/>
    </row>
    <row r="58" spans="2:31" ht="15.75" customHeight="1" x14ac:dyDescent="0.2">
      <c r="B58" s="335"/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5"/>
      <c r="AE58" s="359"/>
    </row>
    <row r="59" spans="2:31" ht="15.75" customHeight="1" x14ac:dyDescent="0.2">
      <c r="B59" s="335"/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5"/>
      <c r="AE59" s="359"/>
    </row>
    <row r="60" spans="2:31" ht="15.75" customHeight="1" x14ac:dyDescent="0.2">
      <c r="B60" s="335"/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5"/>
      <c r="AE60" s="359"/>
    </row>
    <row r="61" spans="2:31" ht="15.75" customHeight="1" x14ac:dyDescent="0.2">
      <c r="B61" s="335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5"/>
      <c r="AE61" s="359"/>
    </row>
    <row r="62" spans="2:31" ht="15.75" customHeight="1" x14ac:dyDescent="0.2">
      <c r="B62" s="335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5"/>
      <c r="AE62" s="359"/>
    </row>
    <row r="63" spans="2:31" ht="15.75" customHeight="1" x14ac:dyDescent="0.2">
      <c r="B63" s="335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5"/>
      <c r="AE63" s="359"/>
    </row>
    <row r="64" spans="2:31" ht="15.75" customHeight="1" x14ac:dyDescent="0.2">
      <c r="B64" s="335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5"/>
      <c r="AE64" s="359"/>
    </row>
    <row r="65" spans="2:31" ht="15.75" customHeight="1" x14ac:dyDescent="0.2">
      <c r="B65" s="335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5"/>
      <c r="AE65" s="359"/>
    </row>
    <row r="66" spans="2:31" ht="15.75" customHeight="1" x14ac:dyDescent="0.2">
      <c r="B66" s="335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5"/>
      <c r="AE66" s="359"/>
    </row>
    <row r="67" spans="2:31" ht="15.75" customHeight="1" x14ac:dyDescent="0.2">
      <c r="B67" s="335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5"/>
      <c r="AE67" s="359"/>
    </row>
    <row r="68" spans="2:31" ht="15.75" customHeight="1" x14ac:dyDescent="0.2">
      <c r="B68" s="335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5"/>
      <c r="AE68" s="359"/>
    </row>
    <row r="69" spans="2:31" ht="15.75" customHeight="1" x14ac:dyDescent="0.2">
      <c r="B69" s="335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5"/>
      <c r="AE69" s="359"/>
    </row>
    <row r="70" spans="2:31" ht="15.75" customHeight="1" x14ac:dyDescent="0.2">
      <c r="B70" s="335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5"/>
      <c r="AE70" s="359"/>
    </row>
    <row r="71" spans="2:31" ht="15.75" customHeight="1" x14ac:dyDescent="0.2">
      <c r="B71" s="335"/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5"/>
      <c r="AE71" s="359"/>
    </row>
    <row r="72" spans="2:31" ht="15.75" customHeight="1" x14ac:dyDescent="0.2">
      <c r="B72" s="335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5"/>
      <c r="AE72" s="359"/>
    </row>
    <row r="73" spans="2:31" ht="15.75" customHeight="1" x14ac:dyDescent="0.2">
      <c r="B73" s="335"/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5"/>
      <c r="AE73" s="359"/>
    </row>
    <row r="74" spans="2:31" ht="15.75" customHeight="1" x14ac:dyDescent="0.2">
      <c r="B74" s="335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5"/>
      <c r="AE74" s="359"/>
    </row>
    <row r="75" spans="2:31" ht="15.75" customHeight="1" x14ac:dyDescent="0.2">
      <c r="B75" s="335"/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5"/>
      <c r="AE75" s="359"/>
    </row>
    <row r="76" spans="2:31" ht="15.75" customHeight="1" x14ac:dyDescent="0.2">
      <c r="B76" s="335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5"/>
      <c r="AE76" s="359"/>
    </row>
    <row r="77" spans="2:31" ht="15.75" customHeight="1" x14ac:dyDescent="0.2">
      <c r="B77" s="335"/>
      <c r="C77" s="334"/>
      <c r="D77" s="33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5"/>
      <c r="AE77" s="359"/>
    </row>
    <row r="78" spans="2:31" ht="15.75" customHeight="1" x14ac:dyDescent="0.2">
      <c r="B78" s="335"/>
      <c r="C78" s="334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5"/>
      <c r="AE78" s="359"/>
    </row>
    <row r="79" spans="2:31" ht="15.75" customHeight="1" x14ac:dyDescent="0.2">
      <c r="B79" s="335"/>
      <c r="C79" s="334"/>
      <c r="D79" s="334"/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5"/>
      <c r="AE79" s="359"/>
    </row>
    <row r="80" spans="2:31" ht="15.75" customHeight="1" x14ac:dyDescent="0.2">
      <c r="B80" s="335"/>
      <c r="C80" s="334"/>
      <c r="D80" s="334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5"/>
      <c r="AE80" s="359"/>
    </row>
    <row r="81" spans="2:31" ht="15.75" customHeight="1" x14ac:dyDescent="0.2">
      <c r="B81" s="335"/>
      <c r="C81" s="334"/>
      <c r="D81" s="334"/>
      <c r="E81" s="334"/>
      <c r="F81" s="334"/>
      <c r="G81" s="334"/>
      <c r="H81" s="334"/>
      <c r="I81" s="334"/>
      <c r="J81" s="334"/>
      <c r="K81" s="334"/>
      <c r="L81" s="334"/>
      <c r="M81" s="334"/>
      <c r="N81" s="334"/>
      <c r="O81" s="334"/>
      <c r="P81" s="334"/>
      <c r="Q81" s="335"/>
      <c r="AE81" s="359"/>
    </row>
    <row r="82" spans="2:31" ht="15.75" customHeight="1" x14ac:dyDescent="0.2">
      <c r="B82" s="335"/>
      <c r="C82" s="334"/>
      <c r="D82" s="334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5"/>
      <c r="AE82" s="359"/>
    </row>
    <row r="83" spans="2:31" ht="15.75" customHeight="1" x14ac:dyDescent="0.2">
      <c r="B83" s="335"/>
      <c r="C83" s="334"/>
      <c r="D83" s="334"/>
      <c r="E83" s="334"/>
      <c r="F83" s="334"/>
      <c r="G83" s="334"/>
      <c r="H83" s="334"/>
      <c r="I83" s="334"/>
      <c r="J83" s="334"/>
      <c r="K83" s="334"/>
      <c r="L83" s="334"/>
      <c r="M83" s="334"/>
      <c r="N83" s="334"/>
      <c r="O83" s="334"/>
      <c r="P83" s="334"/>
      <c r="Q83" s="335"/>
      <c r="AE83" s="359"/>
    </row>
    <row r="84" spans="2:31" ht="15.75" customHeight="1" x14ac:dyDescent="0.2">
      <c r="B84" s="335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5"/>
      <c r="AE84" s="359"/>
    </row>
    <row r="85" spans="2:31" ht="15.75" customHeight="1" x14ac:dyDescent="0.2">
      <c r="B85" s="335"/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  <c r="O85" s="334"/>
      <c r="P85" s="334"/>
      <c r="Q85" s="335"/>
      <c r="AE85" s="359"/>
    </row>
    <row r="86" spans="2:31" ht="15.75" customHeight="1" x14ac:dyDescent="0.2">
      <c r="B86" s="335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5"/>
      <c r="AE86" s="359"/>
    </row>
    <row r="87" spans="2:31" ht="15.75" customHeight="1" x14ac:dyDescent="0.2">
      <c r="B87" s="335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5"/>
      <c r="AE87" s="359"/>
    </row>
    <row r="88" spans="2:31" ht="15.75" customHeight="1" x14ac:dyDescent="0.2">
      <c r="B88" s="335"/>
      <c r="C88" s="334"/>
      <c r="D88" s="334"/>
      <c r="E88" s="334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5"/>
      <c r="AE88" s="359"/>
    </row>
    <row r="89" spans="2:31" ht="15.75" customHeight="1" x14ac:dyDescent="0.2">
      <c r="B89" s="335"/>
      <c r="C89" s="334"/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5"/>
      <c r="AE89" s="359"/>
    </row>
    <row r="90" spans="2:31" ht="15.75" customHeight="1" x14ac:dyDescent="0.2">
      <c r="B90" s="335"/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5"/>
      <c r="AE90" s="359"/>
    </row>
    <row r="91" spans="2:31" ht="15.75" customHeight="1" x14ac:dyDescent="0.2">
      <c r="B91" s="335"/>
      <c r="C91" s="334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5"/>
      <c r="AE91" s="359"/>
    </row>
    <row r="92" spans="2:31" ht="15.75" customHeight="1" x14ac:dyDescent="0.2">
      <c r="B92" s="335"/>
      <c r="C92" s="334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5"/>
      <c r="AE92" s="359"/>
    </row>
    <row r="93" spans="2:31" ht="15.75" customHeight="1" x14ac:dyDescent="0.2">
      <c r="B93" s="335"/>
      <c r="C93" s="334"/>
      <c r="D93" s="334"/>
      <c r="E93" s="334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35"/>
      <c r="AE93" s="359"/>
    </row>
    <row r="94" spans="2:31" ht="15.75" customHeight="1" x14ac:dyDescent="0.2">
      <c r="B94" s="335"/>
      <c r="C94" s="334"/>
      <c r="D94" s="334"/>
      <c r="E94" s="334"/>
      <c r="F94" s="334"/>
      <c r="G94" s="334"/>
      <c r="H94" s="334"/>
      <c r="I94" s="334"/>
      <c r="J94" s="334"/>
      <c r="K94" s="334"/>
      <c r="L94" s="334"/>
      <c r="M94" s="334"/>
      <c r="N94" s="334"/>
      <c r="O94" s="334"/>
      <c r="P94" s="334"/>
      <c r="Q94" s="335"/>
      <c r="AE94" s="359"/>
    </row>
    <row r="95" spans="2:31" ht="15.75" customHeight="1" x14ac:dyDescent="0.2">
      <c r="B95" s="335"/>
      <c r="C95" s="334"/>
      <c r="D95" s="334"/>
      <c r="E95" s="334"/>
      <c r="F95" s="334"/>
      <c r="G95" s="334"/>
      <c r="H95" s="334"/>
      <c r="I95" s="334"/>
      <c r="J95" s="334"/>
      <c r="K95" s="334"/>
      <c r="L95" s="334"/>
      <c r="M95" s="334"/>
      <c r="N95" s="334"/>
      <c r="O95" s="334"/>
      <c r="P95" s="334"/>
      <c r="Q95" s="335"/>
      <c r="AE95" s="359"/>
    </row>
    <row r="96" spans="2:31" ht="15.75" customHeight="1" x14ac:dyDescent="0.2">
      <c r="B96" s="335"/>
      <c r="C96" s="334"/>
      <c r="D96" s="334"/>
      <c r="E96" s="334"/>
      <c r="F96" s="334"/>
      <c r="G96" s="334"/>
      <c r="H96" s="334"/>
      <c r="I96" s="334"/>
      <c r="J96" s="334"/>
      <c r="K96" s="334"/>
      <c r="L96" s="334"/>
      <c r="M96" s="334"/>
      <c r="N96" s="334"/>
      <c r="O96" s="334"/>
      <c r="P96" s="334"/>
      <c r="Q96" s="335"/>
      <c r="AE96" s="359"/>
    </row>
    <row r="97" spans="2:31" ht="15.75" customHeight="1" x14ac:dyDescent="0.2">
      <c r="B97" s="335"/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5"/>
      <c r="AE97" s="359"/>
    </row>
    <row r="98" spans="2:31" ht="15.75" customHeight="1" x14ac:dyDescent="0.2">
      <c r="B98" s="335"/>
      <c r="C98" s="334"/>
      <c r="D98" s="33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5"/>
      <c r="AE98" s="359"/>
    </row>
    <row r="99" spans="2:31" ht="15.75" customHeight="1" x14ac:dyDescent="0.2">
      <c r="B99" s="335"/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  <c r="O99" s="334"/>
      <c r="P99" s="334"/>
      <c r="Q99" s="335"/>
      <c r="AE99" s="359"/>
    </row>
    <row r="100" spans="2:31" ht="15.75" customHeight="1" x14ac:dyDescent="0.2">
      <c r="B100" s="335"/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5"/>
      <c r="AE100" s="359"/>
    </row>
    <row r="101" spans="2:31" ht="15.75" customHeight="1" x14ac:dyDescent="0.2">
      <c r="B101" s="335"/>
      <c r="C101" s="334"/>
      <c r="D101" s="334"/>
      <c r="E101" s="334"/>
      <c r="F101" s="334"/>
      <c r="G101" s="334"/>
      <c r="H101" s="334"/>
      <c r="I101" s="334"/>
      <c r="J101" s="334"/>
      <c r="K101" s="334"/>
      <c r="L101" s="334"/>
      <c r="M101" s="334"/>
      <c r="N101" s="334"/>
      <c r="O101" s="334"/>
      <c r="P101" s="334"/>
      <c r="Q101" s="335"/>
      <c r="AE101" s="359"/>
    </row>
    <row r="102" spans="2:31" ht="15.75" customHeight="1" x14ac:dyDescent="0.2">
      <c r="B102" s="335"/>
      <c r="C102" s="334"/>
      <c r="D102" s="334"/>
      <c r="E102" s="334"/>
      <c r="F102" s="334"/>
      <c r="G102" s="334"/>
      <c r="H102" s="334"/>
      <c r="I102" s="334"/>
      <c r="J102" s="334"/>
      <c r="K102" s="334"/>
      <c r="L102" s="334"/>
      <c r="M102" s="334"/>
      <c r="N102" s="334"/>
      <c r="O102" s="334"/>
      <c r="P102" s="334"/>
      <c r="Q102" s="335"/>
      <c r="AE102" s="359"/>
    </row>
    <row r="103" spans="2:31" ht="15.75" customHeight="1" x14ac:dyDescent="0.2">
      <c r="B103" s="335"/>
      <c r="C103" s="334"/>
      <c r="D103" s="334"/>
      <c r="E103" s="334"/>
      <c r="F103" s="334"/>
      <c r="G103" s="334"/>
      <c r="H103" s="334"/>
      <c r="I103" s="334"/>
      <c r="J103" s="334"/>
      <c r="K103" s="334"/>
      <c r="L103" s="334"/>
      <c r="M103" s="334"/>
      <c r="N103" s="334"/>
      <c r="O103" s="334"/>
      <c r="P103" s="334"/>
      <c r="Q103" s="335"/>
      <c r="AE103" s="359"/>
    </row>
    <row r="104" spans="2:31" ht="15.75" customHeight="1" x14ac:dyDescent="0.2">
      <c r="B104" s="335"/>
      <c r="C104" s="334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35"/>
      <c r="AE104" s="359"/>
    </row>
    <row r="105" spans="2:31" ht="15.75" customHeight="1" x14ac:dyDescent="0.2">
      <c r="B105" s="335"/>
      <c r="C105" s="334"/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5"/>
      <c r="AE105" s="359"/>
    </row>
    <row r="106" spans="2:31" ht="15.75" customHeight="1" x14ac:dyDescent="0.2">
      <c r="B106" s="335"/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335"/>
      <c r="AE106" s="359"/>
    </row>
    <row r="107" spans="2:31" ht="15.75" customHeight="1" x14ac:dyDescent="0.2">
      <c r="B107" s="335"/>
      <c r="C107" s="334"/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334"/>
      <c r="Q107" s="335"/>
      <c r="AE107" s="359"/>
    </row>
    <row r="108" spans="2:31" ht="15.75" customHeight="1" x14ac:dyDescent="0.2">
      <c r="B108" s="335"/>
      <c r="C108" s="334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334"/>
      <c r="Q108" s="335"/>
      <c r="AE108" s="359"/>
    </row>
    <row r="109" spans="2:31" ht="15.75" customHeight="1" x14ac:dyDescent="0.2">
      <c r="B109" s="335"/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5"/>
      <c r="AE109" s="359"/>
    </row>
    <row r="110" spans="2:31" ht="15.75" customHeight="1" x14ac:dyDescent="0.2">
      <c r="B110" s="335"/>
      <c r="C110" s="334"/>
      <c r="D110" s="334"/>
      <c r="E110" s="334"/>
      <c r="F110" s="334"/>
      <c r="G110" s="334"/>
      <c r="H110" s="334"/>
      <c r="I110" s="334"/>
      <c r="J110" s="334"/>
      <c r="K110" s="334"/>
      <c r="L110" s="334"/>
      <c r="M110" s="334"/>
      <c r="N110" s="334"/>
      <c r="O110" s="334"/>
      <c r="P110" s="334"/>
      <c r="Q110" s="335"/>
      <c r="AE110" s="359"/>
    </row>
    <row r="111" spans="2:31" ht="15.75" customHeight="1" x14ac:dyDescent="0.2">
      <c r="B111" s="335"/>
      <c r="C111" s="334"/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  <c r="N111" s="334"/>
      <c r="O111" s="334"/>
      <c r="P111" s="334"/>
      <c r="Q111" s="335"/>
      <c r="AE111" s="359"/>
    </row>
    <row r="112" spans="2:31" ht="15.75" customHeight="1" x14ac:dyDescent="0.2">
      <c r="B112" s="335"/>
      <c r="C112" s="334"/>
      <c r="D112" s="334"/>
      <c r="E112" s="334"/>
      <c r="F112" s="334"/>
      <c r="G112" s="334"/>
      <c r="H112" s="334"/>
      <c r="I112" s="334"/>
      <c r="J112" s="334"/>
      <c r="K112" s="334"/>
      <c r="L112" s="334"/>
      <c r="M112" s="334"/>
      <c r="N112" s="334"/>
      <c r="O112" s="334"/>
      <c r="P112" s="334"/>
      <c r="Q112" s="335"/>
      <c r="AE112" s="359"/>
    </row>
    <row r="113" spans="2:31" ht="15.75" customHeight="1" x14ac:dyDescent="0.2">
      <c r="B113" s="335"/>
      <c r="C113" s="334"/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  <c r="N113" s="334"/>
      <c r="O113" s="334"/>
      <c r="P113" s="334"/>
      <c r="Q113" s="335"/>
      <c r="AE113" s="359"/>
    </row>
    <row r="114" spans="2:31" ht="15.75" customHeight="1" x14ac:dyDescent="0.2">
      <c r="B114" s="335"/>
      <c r="C114" s="334"/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  <c r="O114" s="334"/>
      <c r="P114" s="334"/>
      <c r="Q114" s="335"/>
      <c r="AE114" s="359"/>
    </row>
    <row r="115" spans="2:31" ht="15.75" customHeight="1" x14ac:dyDescent="0.2">
      <c r="B115" s="335"/>
      <c r="C115" s="334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5"/>
      <c r="AE115" s="359"/>
    </row>
    <row r="116" spans="2:31" ht="15.75" customHeight="1" x14ac:dyDescent="0.2">
      <c r="B116" s="335"/>
      <c r="C116" s="334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334"/>
      <c r="P116" s="334"/>
      <c r="Q116" s="335"/>
      <c r="AE116" s="359"/>
    </row>
    <row r="117" spans="2:31" ht="15.75" customHeight="1" x14ac:dyDescent="0.2">
      <c r="B117" s="335"/>
      <c r="C117" s="334"/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334"/>
      <c r="P117" s="334"/>
      <c r="Q117" s="335"/>
      <c r="AE117" s="359"/>
    </row>
    <row r="118" spans="2:31" ht="15.75" customHeight="1" x14ac:dyDescent="0.2">
      <c r="B118" s="335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35"/>
      <c r="AE118" s="359"/>
    </row>
    <row r="119" spans="2:31" ht="15.75" customHeight="1" x14ac:dyDescent="0.2">
      <c r="B119" s="335"/>
      <c r="C119" s="334"/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4"/>
      <c r="O119" s="334"/>
      <c r="P119" s="334"/>
      <c r="Q119" s="335"/>
      <c r="AE119" s="359"/>
    </row>
    <row r="120" spans="2:31" ht="15.75" customHeight="1" x14ac:dyDescent="0.2">
      <c r="B120" s="335"/>
      <c r="C120" s="334"/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  <c r="N120" s="334"/>
      <c r="O120" s="334"/>
      <c r="P120" s="334"/>
      <c r="Q120" s="335"/>
      <c r="AE120" s="359"/>
    </row>
    <row r="121" spans="2:31" ht="15.75" customHeight="1" x14ac:dyDescent="0.2">
      <c r="B121" s="335"/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4"/>
      <c r="O121" s="334"/>
      <c r="P121" s="334"/>
      <c r="Q121" s="335"/>
      <c r="AE121" s="359"/>
    </row>
    <row r="122" spans="2:31" ht="15.75" customHeight="1" x14ac:dyDescent="0.2">
      <c r="B122" s="335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335"/>
      <c r="AE122" s="359"/>
    </row>
    <row r="123" spans="2:31" ht="15.75" customHeight="1" x14ac:dyDescent="0.2">
      <c r="B123" s="335"/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  <c r="P123" s="334"/>
      <c r="Q123" s="335"/>
      <c r="AE123" s="359"/>
    </row>
    <row r="124" spans="2:31" ht="15.75" customHeight="1" x14ac:dyDescent="0.2">
      <c r="B124" s="335"/>
      <c r="C124" s="334"/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  <c r="O124" s="334"/>
      <c r="P124" s="334"/>
      <c r="Q124" s="335"/>
      <c r="AE124" s="359"/>
    </row>
    <row r="125" spans="2:31" ht="15.75" customHeight="1" x14ac:dyDescent="0.2">
      <c r="B125" s="335"/>
      <c r="C125" s="334"/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  <c r="P125" s="334"/>
      <c r="Q125" s="335"/>
      <c r="AE125" s="359"/>
    </row>
    <row r="126" spans="2:31" ht="15.75" customHeight="1" x14ac:dyDescent="0.2">
      <c r="B126" s="335"/>
      <c r="C126" s="334"/>
      <c r="D126" s="334"/>
      <c r="E126" s="334"/>
      <c r="F126" s="334"/>
      <c r="G126" s="334"/>
      <c r="H126" s="334"/>
      <c r="I126" s="334"/>
      <c r="J126" s="334"/>
      <c r="K126" s="334"/>
      <c r="L126" s="334"/>
      <c r="M126" s="334"/>
      <c r="N126" s="334"/>
      <c r="O126" s="334"/>
      <c r="P126" s="334"/>
      <c r="Q126" s="335"/>
      <c r="AE126" s="359"/>
    </row>
    <row r="127" spans="2:31" ht="15.75" customHeight="1" x14ac:dyDescent="0.2">
      <c r="B127" s="335"/>
      <c r="C127" s="334"/>
      <c r="D127" s="334"/>
      <c r="E127" s="334"/>
      <c r="F127" s="334"/>
      <c r="G127" s="334"/>
      <c r="H127" s="334"/>
      <c r="I127" s="334"/>
      <c r="J127" s="334"/>
      <c r="K127" s="334"/>
      <c r="L127" s="334"/>
      <c r="M127" s="334"/>
      <c r="N127" s="334"/>
      <c r="O127" s="334"/>
      <c r="P127" s="334"/>
      <c r="Q127" s="335"/>
      <c r="AE127" s="359"/>
    </row>
    <row r="128" spans="2:31" ht="15.75" customHeight="1" x14ac:dyDescent="0.2">
      <c r="B128" s="335"/>
      <c r="C128" s="334"/>
      <c r="D128" s="334"/>
      <c r="E128" s="334"/>
      <c r="F128" s="334"/>
      <c r="G128" s="334"/>
      <c r="H128" s="334"/>
      <c r="I128" s="334"/>
      <c r="J128" s="334"/>
      <c r="K128" s="334"/>
      <c r="L128" s="334"/>
      <c r="M128" s="334"/>
      <c r="N128" s="334"/>
      <c r="O128" s="334"/>
      <c r="P128" s="334"/>
      <c r="Q128" s="335"/>
      <c r="AE128" s="359"/>
    </row>
    <row r="129" spans="2:31" ht="15.75" customHeight="1" x14ac:dyDescent="0.2">
      <c r="B129" s="335"/>
      <c r="C129" s="334"/>
      <c r="D129" s="334"/>
      <c r="E129" s="334"/>
      <c r="F129" s="334"/>
      <c r="G129" s="334"/>
      <c r="H129" s="334"/>
      <c r="I129" s="334"/>
      <c r="J129" s="334"/>
      <c r="K129" s="334"/>
      <c r="L129" s="334"/>
      <c r="M129" s="334"/>
      <c r="N129" s="334"/>
      <c r="O129" s="334"/>
      <c r="P129" s="334"/>
      <c r="Q129" s="335"/>
      <c r="AE129" s="359"/>
    </row>
    <row r="130" spans="2:31" ht="15.75" customHeight="1" x14ac:dyDescent="0.2">
      <c r="B130" s="335"/>
      <c r="C130" s="334"/>
      <c r="D130" s="334"/>
      <c r="E130" s="334"/>
      <c r="F130" s="334"/>
      <c r="G130" s="334"/>
      <c r="H130" s="334"/>
      <c r="I130" s="334"/>
      <c r="J130" s="334"/>
      <c r="K130" s="334"/>
      <c r="L130" s="334"/>
      <c r="M130" s="334"/>
      <c r="N130" s="334"/>
      <c r="O130" s="334"/>
      <c r="P130" s="334"/>
      <c r="Q130" s="335"/>
      <c r="AE130" s="359"/>
    </row>
    <row r="131" spans="2:31" ht="15.75" customHeight="1" x14ac:dyDescent="0.2">
      <c r="B131" s="335"/>
      <c r="C131" s="334"/>
      <c r="D131" s="334"/>
      <c r="E131" s="334"/>
      <c r="F131" s="334"/>
      <c r="G131" s="334"/>
      <c r="H131" s="334"/>
      <c r="I131" s="334"/>
      <c r="J131" s="334"/>
      <c r="K131" s="334"/>
      <c r="L131" s="334"/>
      <c r="M131" s="334"/>
      <c r="N131" s="334"/>
      <c r="O131" s="334"/>
      <c r="P131" s="334"/>
      <c r="Q131" s="335"/>
      <c r="AE131" s="359"/>
    </row>
    <row r="132" spans="2:31" ht="15.75" customHeight="1" x14ac:dyDescent="0.2">
      <c r="B132" s="335"/>
      <c r="C132" s="334"/>
      <c r="D132" s="334"/>
      <c r="E132" s="334"/>
      <c r="F132" s="334"/>
      <c r="G132" s="334"/>
      <c r="H132" s="334"/>
      <c r="I132" s="334"/>
      <c r="J132" s="334"/>
      <c r="K132" s="334"/>
      <c r="L132" s="334"/>
      <c r="M132" s="334"/>
      <c r="N132" s="334"/>
      <c r="O132" s="334"/>
      <c r="P132" s="334"/>
      <c r="Q132" s="335"/>
      <c r="AE132" s="359"/>
    </row>
    <row r="133" spans="2:31" ht="15.75" customHeight="1" x14ac:dyDescent="0.2">
      <c r="B133" s="335"/>
      <c r="C133" s="334"/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  <c r="N133" s="334"/>
      <c r="O133" s="334"/>
      <c r="P133" s="334"/>
      <c r="Q133" s="335"/>
      <c r="AE133" s="359"/>
    </row>
    <row r="134" spans="2:31" ht="15.75" customHeight="1" x14ac:dyDescent="0.2">
      <c r="B134" s="335"/>
      <c r="C134" s="334"/>
      <c r="D134" s="334"/>
      <c r="E134" s="334"/>
      <c r="F134" s="334"/>
      <c r="G134" s="334"/>
      <c r="H134" s="334"/>
      <c r="I134" s="334"/>
      <c r="J134" s="334"/>
      <c r="K134" s="334"/>
      <c r="L134" s="334"/>
      <c r="M134" s="334"/>
      <c r="N134" s="334"/>
      <c r="O134" s="334"/>
      <c r="P134" s="334"/>
      <c r="Q134" s="335"/>
      <c r="AE134" s="359"/>
    </row>
    <row r="135" spans="2:31" ht="15.75" customHeight="1" x14ac:dyDescent="0.2">
      <c r="B135" s="335"/>
      <c r="C135" s="334"/>
      <c r="D135" s="334"/>
      <c r="E135" s="334"/>
      <c r="F135" s="334"/>
      <c r="G135" s="334"/>
      <c r="H135" s="334"/>
      <c r="I135" s="334"/>
      <c r="J135" s="334"/>
      <c r="K135" s="334"/>
      <c r="L135" s="334"/>
      <c r="M135" s="334"/>
      <c r="N135" s="334"/>
      <c r="O135" s="334"/>
      <c r="P135" s="334"/>
      <c r="Q135" s="335"/>
      <c r="AE135" s="359"/>
    </row>
    <row r="136" spans="2:31" ht="15.75" customHeight="1" x14ac:dyDescent="0.2">
      <c r="B136" s="335"/>
      <c r="C136" s="334"/>
      <c r="D136" s="334"/>
      <c r="E136" s="334"/>
      <c r="F136" s="334"/>
      <c r="G136" s="334"/>
      <c r="H136" s="334"/>
      <c r="I136" s="334"/>
      <c r="J136" s="334"/>
      <c r="K136" s="334"/>
      <c r="L136" s="334"/>
      <c r="M136" s="334"/>
      <c r="N136" s="334"/>
      <c r="O136" s="334"/>
      <c r="P136" s="334"/>
      <c r="Q136" s="335"/>
      <c r="AE136" s="359"/>
    </row>
    <row r="137" spans="2:31" ht="15.75" customHeight="1" x14ac:dyDescent="0.2">
      <c r="B137" s="335"/>
      <c r="C137" s="334"/>
      <c r="D137" s="334"/>
      <c r="E137" s="334"/>
      <c r="F137" s="334"/>
      <c r="G137" s="334"/>
      <c r="H137" s="334"/>
      <c r="I137" s="334"/>
      <c r="J137" s="334"/>
      <c r="K137" s="334"/>
      <c r="L137" s="334"/>
      <c r="M137" s="334"/>
      <c r="N137" s="334"/>
      <c r="O137" s="334"/>
      <c r="P137" s="334"/>
      <c r="Q137" s="335"/>
      <c r="AE137" s="359"/>
    </row>
    <row r="138" spans="2:31" ht="15.75" customHeight="1" x14ac:dyDescent="0.2">
      <c r="B138" s="335"/>
      <c r="C138" s="334"/>
      <c r="D138" s="334"/>
      <c r="E138" s="334"/>
      <c r="F138" s="334"/>
      <c r="G138" s="334"/>
      <c r="H138" s="334"/>
      <c r="I138" s="334"/>
      <c r="J138" s="334"/>
      <c r="K138" s="334"/>
      <c r="L138" s="334"/>
      <c r="M138" s="334"/>
      <c r="N138" s="334"/>
      <c r="O138" s="334"/>
      <c r="P138" s="334"/>
      <c r="Q138" s="335"/>
      <c r="AE138" s="359"/>
    </row>
    <row r="139" spans="2:31" ht="15.75" customHeight="1" x14ac:dyDescent="0.2">
      <c r="B139" s="335"/>
      <c r="C139" s="334"/>
      <c r="D139" s="334"/>
      <c r="E139" s="334"/>
      <c r="F139" s="334"/>
      <c r="G139" s="334"/>
      <c r="H139" s="334"/>
      <c r="I139" s="334"/>
      <c r="J139" s="334"/>
      <c r="K139" s="334"/>
      <c r="L139" s="334"/>
      <c r="M139" s="334"/>
      <c r="N139" s="334"/>
      <c r="O139" s="334"/>
      <c r="P139" s="334"/>
      <c r="Q139" s="335"/>
      <c r="AE139" s="359"/>
    </row>
    <row r="140" spans="2:31" ht="15.75" customHeight="1" x14ac:dyDescent="0.2">
      <c r="B140" s="335"/>
      <c r="C140" s="334"/>
      <c r="D140" s="334"/>
      <c r="E140" s="334"/>
      <c r="F140" s="334"/>
      <c r="G140" s="334"/>
      <c r="H140" s="334"/>
      <c r="I140" s="334"/>
      <c r="J140" s="334"/>
      <c r="K140" s="334"/>
      <c r="L140" s="334"/>
      <c r="M140" s="334"/>
      <c r="N140" s="334"/>
      <c r="O140" s="334"/>
      <c r="P140" s="334"/>
      <c r="Q140" s="335"/>
      <c r="AE140" s="359"/>
    </row>
    <row r="141" spans="2:31" ht="15.75" customHeight="1" x14ac:dyDescent="0.2">
      <c r="B141" s="335"/>
      <c r="C141" s="334"/>
      <c r="D141" s="334"/>
      <c r="E141" s="334"/>
      <c r="F141" s="334"/>
      <c r="G141" s="334"/>
      <c r="H141" s="334"/>
      <c r="I141" s="334"/>
      <c r="J141" s="334"/>
      <c r="K141" s="334"/>
      <c r="L141" s="334"/>
      <c r="M141" s="334"/>
      <c r="N141" s="334"/>
      <c r="O141" s="334"/>
      <c r="P141" s="334"/>
      <c r="Q141" s="335"/>
      <c r="AE141" s="359"/>
    </row>
    <row r="142" spans="2:31" ht="15.75" customHeight="1" x14ac:dyDescent="0.2">
      <c r="B142" s="335"/>
      <c r="C142" s="334"/>
      <c r="D142" s="334"/>
      <c r="E142" s="334"/>
      <c r="F142" s="334"/>
      <c r="G142" s="334"/>
      <c r="H142" s="334"/>
      <c r="I142" s="334"/>
      <c r="J142" s="334"/>
      <c r="K142" s="334"/>
      <c r="L142" s="334"/>
      <c r="M142" s="334"/>
      <c r="N142" s="334"/>
      <c r="O142" s="334"/>
      <c r="P142" s="334"/>
      <c r="Q142" s="335"/>
      <c r="AE142" s="359"/>
    </row>
    <row r="143" spans="2:31" ht="15.75" customHeight="1" x14ac:dyDescent="0.2">
      <c r="B143" s="335"/>
      <c r="C143" s="334"/>
      <c r="D143" s="334"/>
      <c r="E143" s="334"/>
      <c r="F143" s="334"/>
      <c r="G143" s="334"/>
      <c r="H143" s="334"/>
      <c r="I143" s="334"/>
      <c r="J143" s="334"/>
      <c r="K143" s="334"/>
      <c r="L143" s="334"/>
      <c r="M143" s="334"/>
      <c r="N143" s="334"/>
      <c r="O143" s="334"/>
      <c r="P143" s="334"/>
      <c r="Q143" s="335"/>
      <c r="AE143" s="359"/>
    </row>
    <row r="144" spans="2:31" ht="15.75" customHeight="1" x14ac:dyDescent="0.2">
      <c r="B144" s="335"/>
      <c r="C144" s="334"/>
      <c r="D144" s="334"/>
      <c r="E144" s="334"/>
      <c r="F144" s="334"/>
      <c r="G144" s="334"/>
      <c r="H144" s="334"/>
      <c r="I144" s="334"/>
      <c r="J144" s="334"/>
      <c r="K144" s="334"/>
      <c r="L144" s="334"/>
      <c r="M144" s="334"/>
      <c r="N144" s="334"/>
      <c r="O144" s="334"/>
      <c r="P144" s="334"/>
      <c r="Q144" s="335"/>
      <c r="AE144" s="359"/>
    </row>
    <row r="145" spans="1:31" ht="15.75" customHeight="1" x14ac:dyDescent="0.2">
      <c r="B145" s="335"/>
      <c r="C145" s="334"/>
      <c r="D145" s="334"/>
      <c r="E145" s="334"/>
      <c r="F145" s="334"/>
      <c r="G145" s="334"/>
      <c r="H145" s="334"/>
      <c r="I145" s="334"/>
      <c r="J145" s="334"/>
      <c r="K145" s="334"/>
      <c r="L145" s="334"/>
      <c r="M145" s="334"/>
      <c r="N145" s="334"/>
      <c r="O145" s="334"/>
      <c r="P145" s="334"/>
      <c r="Q145" s="335"/>
      <c r="AE145" s="359"/>
    </row>
    <row r="146" spans="1:31" ht="15.75" customHeight="1" x14ac:dyDescent="0.2">
      <c r="B146" s="335"/>
      <c r="C146" s="334"/>
      <c r="D146" s="334"/>
      <c r="E146" s="334"/>
      <c r="F146" s="334"/>
      <c r="G146" s="334"/>
      <c r="H146" s="334"/>
      <c r="I146" s="334"/>
      <c r="J146" s="334"/>
      <c r="K146" s="334"/>
      <c r="L146" s="334"/>
      <c r="M146" s="334"/>
      <c r="N146" s="334"/>
      <c r="O146" s="334"/>
      <c r="P146" s="334"/>
      <c r="Q146" s="335"/>
      <c r="AE146" s="359"/>
    </row>
    <row r="147" spans="1:31" ht="15.75" customHeight="1" x14ac:dyDescent="0.2">
      <c r="B147" s="335"/>
      <c r="C147" s="334"/>
      <c r="D147" s="334"/>
      <c r="E147" s="334"/>
      <c r="F147" s="334"/>
      <c r="G147" s="334"/>
      <c r="H147" s="334"/>
      <c r="I147" s="334"/>
      <c r="J147" s="334"/>
      <c r="K147" s="334"/>
      <c r="L147" s="334"/>
      <c r="M147" s="334"/>
      <c r="N147" s="334"/>
      <c r="O147" s="334"/>
      <c r="P147" s="334"/>
      <c r="Q147" s="335"/>
      <c r="AE147" s="359"/>
    </row>
    <row r="148" spans="1:31" ht="15.75" customHeight="1" x14ac:dyDescent="0.2">
      <c r="B148" s="335"/>
      <c r="C148" s="334"/>
      <c r="D148" s="334"/>
      <c r="E148" s="334"/>
      <c r="F148" s="334"/>
      <c r="G148" s="334"/>
      <c r="H148" s="334"/>
      <c r="I148" s="334"/>
      <c r="J148" s="334"/>
      <c r="K148" s="334"/>
      <c r="L148" s="334"/>
      <c r="M148" s="334"/>
      <c r="N148" s="334"/>
      <c r="O148" s="334"/>
      <c r="P148" s="334"/>
      <c r="Q148" s="335"/>
      <c r="AE148" s="359"/>
    </row>
    <row r="149" spans="1:31" ht="15.75" customHeight="1" x14ac:dyDescent="0.2">
      <c r="B149" s="335"/>
      <c r="C149" s="334"/>
      <c r="D149" s="334"/>
      <c r="E149" s="334"/>
      <c r="F149" s="334"/>
      <c r="G149" s="334"/>
      <c r="H149" s="334"/>
      <c r="I149" s="334"/>
      <c r="J149" s="334"/>
      <c r="K149" s="334"/>
      <c r="L149" s="334"/>
      <c r="M149" s="334"/>
      <c r="N149" s="334"/>
      <c r="O149" s="334"/>
      <c r="P149" s="334"/>
      <c r="Q149" s="335"/>
      <c r="W149" s="359">
        <f>'I&amp;O Calc'!$K$323</f>
        <v>6454.07</v>
      </c>
      <c r="X149" s="359">
        <f>'I&amp;O Calc'!$K$324</f>
        <v>2828.24</v>
      </c>
      <c r="Y149" s="359">
        <f>'I&amp;O Calc'!$K$325</f>
        <v>172.82</v>
      </c>
      <c r="Z149" s="359">
        <f>'I&amp;O Calc'!$K$326+'I&amp;O Calc'!$K$327</f>
        <v>6753.85</v>
      </c>
      <c r="AA149" s="359">
        <f>'I&amp;O Calc'!$K$328</f>
        <v>2292.42</v>
      </c>
      <c r="AB149" s="359">
        <f>'I&amp;O Calc'!$K$329</f>
        <v>2677.71</v>
      </c>
      <c r="AC149" s="375">
        <f>'I&amp;O Calc'!$K$330</f>
        <v>1532</v>
      </c>
      <c r="AD149" s="375">
        <f>'I&amp;O Calc'!$K$331</f>
        <v>6820</v>
      </c>
    </row>
    <row r="150" spans="1:31" ht="15.75" customHeight="1" x14ac:dyDescent="0.2">
      <c r="B150" s="335"/>
      <c r="C150" s="334"/>
      <c r="D150" s="334"/>
      <c r="E150" s="334"/>
      <c r="F150" s="334"/>
      <c r="G150" s="334"/>
      <c r="H150" s="334"/>
      <c r="I150" s="334"/>
      <c r="J150" s="334"/>
      <c r="K150" s="334"/>
      <c r="L150" s="334"/>
      <c r="M150" s="334"/>
      <c r="N150" s="334"/>
      <c r="O150" s="334"/>
      <c r="P150" s="334"/>
      <c r="Q150" s="335"/>
      <c r="W150" s="375">
        <f>W38-W149</f>
        <v>0</v>
      </c>
      <c r="X150" s="320">
        <f t="shared" ref="X150:AD150" si="18">X38-X149</f>
        <v>0</v>
      </c>
      <c r="Y150" s="320">
        <f t="shared" si="18"/>
        <v>0</v>
      </c>
      <c r="Z150" s="320">
        <f t="shared" si="18"/>
        <v>0</v>
      </c>
      <c r="AA150" s="320">
        <f t="shared" si="18"/>
        <v>0</v>
      </c>
      <c r="AB150" s="320">
        <f t="shared" si="18"/>
        <v>0</v>
      </c>
      <c r="AC150" s="320">
        <f t="shared" si="18"/>
        <v>0</v>
      </c>
      <c r="AD150" s="320">
        <f t="shared" si="18"/>
        <v>0</v>
      </c>
    </row>
    <row r="151" spans="1:31" ht="15.75" customHeight="1" x14ac:dyDescent="0.2">
      <c r="B151" s="335"/>
      <c r="C151" s="334"/>
      <c r="D151" s="334"/>
      <c r="E151" s="334"/>
      <c r="F151" s="334"/>
      <c r="G151" s="334"/>
      <c r="H151" s="334"/>
      <c r="I151" s="334"/>
      <c r="J151" s="334"/>
      <c r="K151" s="334"/>
      <c r="L151" s="334"/>
      <c r="M151" s="334"/>
      <c r="N151" s="334"/>
      <c r="O151" s="334"/>
      <c r="P151" s="334"/>
      <c r="Q151" s="335"/>
    </row>
    <row r="152" spans="1:31" ht="15.75" customHeight="1" x14ac:dyDescent="0.2">
      <c r="B152" s="335"/>
      <c r="C152" s="334"/>
      <c r="D152" s="334"/>
      <c r="E152" s="334"/>
      <c r="F152" s="334"/>
      <c r="G152" s="334"/>
      <c r="H152" s="334"/>
      <c r="I152" s="334"/>
      <c r="J152" s="334"/>
      <c r="K152" s="334"/>
      <c r="L152" s="334"/>
      <c r="M152" s="334"/>
      <c r="N152" s="334"/>
      <c r="O152" s="334"/>
      <c r="P152" s="334"/>
      <c r="Q152" s="335"/>
    </row>
    <row r="153" spans="1:31" ht="15.75" hidden="1" customHeight="1" x14ac:dyDescent="0.2">
      <c r="B153" s="335"/>
      <c r="C153" s="334"/>
      <c r="D153" s="334"/>
      <c r="E153" s="334"/>
      <c r="F153" s="334"/>
      <c r="G153" s="334"/>
      <c r="H153" s="334"/>
      <c r="I153" s="334"/>
      <c r="J153" s="334"/>
      <c r="K153" s="334"/>
      <c r="L153" s="334"/>
      <c r="M153" s="334"/>
      <c r="N153" s="334"/>
      <c r="O153" s="334"/>
      <c r="P153" s="334"/>
      <c r="Q153" s="335"/>
    </row>
    <row r="154" spans="1:31" s="376" customFormat="1" ht="20.25" hidden="1" customHeight="1" x14ac:dyDescent="0.2"/>
    <row r="155" spans="1:31" ht="19.5" hidden="1" customHeight="1" x14ac:dyDescent="0.2"/>
    <row r="156" spans="1:31" ht="90" hidden="1" x14ac:dyDescent="0.2">
      <c r="A156" s="346" t="s">
        <v>130</v>
      </c>
      <c r="B156" s="347" t="s">
        <v>110</v>
      </c>
      <c r="C156" s="348" t="str">
        <f>C$23</f>
        <v>The University of Texas Southwestern Medical Center</v>
      </c>
      <c r="D156" s="348" t="str">
        <f t="shared" ref="D156:O156" si="19">D$23</f>
        <v>The University of Texas Medical Branch at Galveston</v>
      </c>
      <c r="E156" s="348" t="str">
        <f t="shared" si="19"/>
        <v>The University of Texas Health Science Center at Houston</v>
      </c>
      <c r="F156" s="348" t="str">
        <f t="shared" si="19"/>
        <v>The University of Texas Health Science Center at San Antonio</v>
      </c>
      <c r="G156" s="348" t="str">
        <f t="shared" si="19"/>
        <v>The University of Texas M.D. Anderson Cancer Center</v>
      </c>
      <c r="H156" s="348" t="str">
        <f t="shared" si="19"/>
        <v>The University of Texas Health Center at Tyler</v>
      </c>
      <c r="I156" s="348" t="str">
        <f t="shared" si="19"/>
        <v xml:space="preserve">Texas A&amp;M University System Health Science Center </v>
      </c>
      <c r="J156" s="348" t="str">
        <f t="shared" si="19"/>
        <v>University of North Texas Health Sciences Center at Fort Worth</v>
      </c>
      <c r="K156" s="348" t="str">
        <f t="shared" si="19"/>
        <v xml:space="preserve">Texas Tech University System Health Sciences Center </v>
      </c>
      <c r="L156" s="348" t="str">
        <f t="shared" si="19"/>
        <v>Texas Tech University System Health Sciences Center at El Paso</v>
      </c>
      <c r="M156" s="348" t="str">
        <f t="shared" si="19"/>
        <v>The University of Texas Medical School</v>
      </c>
      <c r="N156" s="348" t="str">
        <f t="shared" si="19"/>
        <v>The University of Texas Rio Grande Valley</v>
      </c>
      <c r="O156" s="348" t="str">
        <f t="shared" si="19"/>
        <v>University of Houston Medical School</v>
      </c>
      <c r="P156" s="350" t="s">
        <v>124</v>
      </c>
      <c r="Q156" s="351" t="s">
        <v>125</v>
      </c>
    </row>
    <row r="157" spans="1:31" ht="15.75" hidden="1" x14ac:dyDescent="0.25">
      <c r="A157" s="333" t="s">
        <v>131</v>
      </c>
      <c r="B157" s="354">
        <v>1</v>
      </c>
      <c r="C157" s="355">
        <f>ROUND('I&amp;O Calc'!$D$11/30,2)</f>
        <v>0</v>
      </c>
      <c r="D157" s="355">
        <f>ROUND('I&amp;O Calc'!$D$21/30,2)</f>
        <v>136.07</v>
      </c>
      <c r="E157" s="355">
        <f>ROUND('I&amp;O Calc'!$D$36/30,2)</f>
        <v>75.7</v>
      </c>
      <c r="F157" s="355">
        <f>ROUND('I&amp;O Calc'!$D$74/30,2)</f>
        <v>302.33</v>
      </c>
      <c r="G157" s="355">
        <f>ROUND('I&amp;O Calc'!$D$86/30,2)</f>
        <v>362.2</v>
      </c>
      <c r="H157" s="377"/>
      <c r="I157" s="355">
        <f>ROUND('I&amp;O Calc'!$D$114/30,2)</f>
        <v>64.97</v>
      </c>
      <c r="J157" s="355">
        <f>ROUND('I&amp;O Calc'!$D$142/30,2)</f>
        <v>0</v>
      </c>
      <c r="K157" s="355">
        <f>ROUND('I&amp;O Calc'!$D$164/30,2)</f>
        <v>312.33</v>
      </c>
      <c r="L157" s="377"/>
      <c r="M157" s="377"/>
      <c r="N157" s="377"/>
      <c r="O157" s="377"/>
      <c r="P157" s="357">
        <f t="shared" ref="P157:P159" si="20">SUM(C157:L157)</f>
        <v>1253.5999999999999</v>
      </c>
      <c r="Q157" s="358">
        <f t="shared" ref="Q157:Q159" si="21">COUNTA(C157:N157)</f>
        <v>8</v>
      </c>
    </row>
    <row r="158" spans="1:31" ht="15.75" hidden="1" x14ac:dyDescent="0.25">
      <c r="A158" s="333" t="s">
        <v>132</v>
      </c>
      <c r="B158" s="354">
        <v>1</v>
      </c>
      <c r="C158" s="355">
        <f>ROUND('I&amp;O Calc'!$G$11/24,2)</f>
        <v>527.16999999999996</v>
      </c>
      <c r="D158" s="355">
        <f>ROUND('I&amp;O Calc'!$G$21/24,2)</f>
        <v>928.17</v>
      </c>
      <c r="E158" s="377"/>
      <c r="F158" s="355">
        <f>ROUND('I&amp;O Calc'!$G$74/24,2)</f>
        <v>761.96</v>
      </c>
      <c r="G158" s="355">
        <f>ROUND('I&amp;O Calc'!$G$86/24,2)</f>
        <v>30.25</v>
      </c>
      <c r="H158" s="377"/>
      <c r="I158" s="355">
        <f>ROUND('I&amp;O Calc'!$G$114/24,2)</f>
        <v>0</v>
      </c>
      <c r="J158" s="355">
        <f>ROUND('I&amp;O Calc'!$G$142/24,2)</f>
        <v>604.33000000000004</v>
      </c>
      <c r="K158" s="355">
        <f>ROUND('I&amp;O Calc'!$G$164/24,2)-0.01</f>
        <v>1579.41</v>
      </c>
      <c r="L158" s="377"/>
      <c r="M158" s="377"/>
      <c r="N158" s="377"/>
      <c r="O158" s="377"/>
      <c r="P158" s="357">
        <f t="shared" si="20"/>
        <v>4431.29</v>
      </c>
      <c r="Q158" s="358">
        <f t="shared" si="21"/>
        <v>7</v>
      </c>
    </row>
    <row r="159" spans="1:31" ht="15.75" hidden="1" x14ac:dyDescent="0.25">
      <c r="A159" s="333" t="s">
        <v>133</v>
      </c>
      <c r="B159" s="354">
        <v>1</v>
      </c>
      <c r="C159" s="355">
        <f>ROUND('I&amp;O Calc'!$J$11/18,2)</f>
        <v>9.39</v>
      </c>
      <c r="D159" s="355">
        <f>ROUND('I&amp;O Calc'!$J$21/18,2)</f>
        <v>301.83</v>
      </c>
      <c r="E159" s="377"/>
      <c r="F159" s="355">
        <f>ROUND('I&amp;O Calc'!$J$74/18,2)+0.02</f>
        <v>298.02</v>
      </c>
      <c r="G159" s="355">
        <f>ROUND('I&amp;O Calc'!$J$86/18,2)</f>
        <v>0</v>
      </c>
      <c r="H159" s="377"/>
      <c r="I159" s="355">
        <f>ROUND('I&amp;O Calc'!$J$89306,2)</f>
        <v>0</v>
      </c>
      <c r="J159" s="355">
        <f>ROUND('I&amp;O Calc'!$J$142/18,2)</f>
        <v>0</v>
      </c>
      <c r="K159" s="355">
        <f>ROUND('I&amp;O Calc'!$J$164/18,2)+0.01</f>
        <v>159.94999999999999</v>
      </c>
      <c r="L159" s="377"/>
      <c r="M159" s="377"/>
      <c r="N159" s="377"/>
      <c r="O159" s="377"/>
      <c r="P159" s="357">
        <f t="shared" si="20"/>
        <v>769.19</v>
      </c>
      <c r="Q159" s="358">
        <f t="shared" si="21"/>
        <v>7</v>
      </c>
    </row>
    <row r="160" spans="1:31" ht="15.75" hidden="1" x14ac:dyDescent="0.25">
      <c r="C160" s="369">
        <f t="shared" ref="C160:P160" si="22">SUM(C157:C159)</f>
        <v>536.55999999999995</v>
      </c>
      <c r="D160" s="369">
        <f t="shared" si="22"/>
        <v>1366.07</v>
      </c>
      <c r="E160" s="369">
        <f t="shared" si="22"/>
        <v>75.7</v>
      </c>
      <c r="F160" s="369">
        <f t="shared" si="22"/>
        <v>1362.31</v>
      </c>
      <c r="G160" s="369">
        <f t="shared" si="22"/>
        <v>392.45</v>
      </c>
      <c r="H160" s="369">
        <f t="shared" si="22"/>
        <v>0</v>
      </c>
      <c r="I160" s="369">
        <f t="shared" si="22"/>
        <v>64.97</v>
      </c>
      <c r="J160" s="369">
        <f t="shared" si="22"/>
        <v>604.33000000000004</v>
      </c>
      <c r="K160" s="369">
        <f t="shared" ref="K160" si="23">SUM(K157:K159)</f>
        <v>2051.69</v>
      </c>
      <c r="L160" s="369">
        <f t="shared" si="22"/>
        <v>0</v>
      </c>
      <c r="M160" s="369">
        <f t="shared" si="22"/>
        <v>0</v>
      </c>
      <c r="N160" s="369">
        <f t="shared" si="22"/>
        <v>0</v>
      </c>
      <c r="O160" s="369">
        <f t="shared" ref="O160" si="24">SUM(O157:O159)</f>
        <v>0</v>
      </c>
      <c r="P160" s="369">
        <f t="shared" si="22"/>
        <v>6454.08</v>
      </c>
    </row>
    <row r="161" spans="1:23" ht="15" hidden="1" x14ac:dyDescent="0.2">
      <c r="C161" s="378" t="str">
        <f t="shared" ref="C161:P161" si="25">IF(C160&lt;&gt;C24,"Error","")</f>
        <v/>
      </c>
      <c r="D161" s="378" t="str">
        <f t="shared" si="25"/>
        <v/>
      </c>
      <c r="E161" s="378" t="str">
        <f t="shared" si="25"/>
        <v/>
      </c>
      <c r="F161" s="378" t="str">
        <f t="shared" si="25"/>
        <v>Error</v>
      </c>
      <c r="G161" s="378" t="str">
        <f t="shared" si="25"/>
        <v/>
      </c>
      <c r="H161" s="378" t="str">
        <f t="shared" si="25"/>
        <v/>
      </c>
      <c r="I161" s="378" t="str">
        <f t="shared" si="25"/>
        <v/>
      </c>
      <c r="J161" s="378" t="str">
        <f t="shared" si="25"/>
        <v/>
      </c>
      <c r="K161" s="378" t="str">
        <f t="shared" si="25"/>
        <v>Error</v>
      </c>
      <c r="L161" s="378" t="str">
        <f t="shared" si="25"/>
        <v/>
      </c>
      <c r="M161" s="378" t="str">
        <f t="shared" si="25"/>
        <v/>
      </c>
      <c r="N161" s="378" t="str">
        <f t="shared" si="25"/>
        <v/>
      </c>
      <c r="O161" s="378" t="str">
        <f t="shared" si="25"/>
        <v/>
      </c>
      <c r="P161" s="378" t="str">
        <f t="shared" si="25"/>
        <v>Error</v>
      </c>
      <c r="W161" s="359"/>
    </row>
    <row r="162" spans="1:23" ht="13.5" hidden="1" customHeight="1" x14ac:dyDescent="0.2">
      <c r="D162" s="359"/>
      <c r="F162" s="359"/>
      <c r="K162" s="359"/>
      <c r="L162" s="359"/>
      <c r="M162" s="359"/>
      <c r="N162" s="359"/>
      <c r="O162" s="359"/>
      <c r="P162" s="359"/>
    </row>
    <row r="163" spans="1:23" s="376" customFormat="1" hidden="1" x14ac:dyDescent="0.2"/>
    <row r="164" spans="1:23" ht="15" hidden="1" x14ac:dyDescent="0.2">
      <c r="A164" s="379"/>
      <c r="B164" s="379"/>
      <c r="C164" s="379"/>
      <c r="D164" s="379"/>
      <c r="E164" s="379"/>
      <c r="F164" s="379"/>
      <c r="G164" s="325"/>
    </row>
    <row r="165" spans="1:23" ht="90" hidden="1" x14ac:dyDescent="0.2">
      <c r="A165" s="346" t="s">
        <v>134</v>
      </c>
      <c r="B165" s="347" t="s">
        <v>110</v>
      </c>
      <c r="C165" s="348" t="str">
        <f t="shared" ref="C165:O165" si="26">C$23</f>
        <v>The University of Texas Southwestern Medical Center</v>
      </c>
      <c r="D165" s="348" t="str">
        <f t="shared" si="26"/>
        <v>The University of Texas Medical Branch at Galveston</v>
      </c>
      <c r="E165" s="348" t="str">
        <f t="shared" si="26"/>
        <v>The University of Texas Health Science Center at Houston</v>
      </c>
      <c r="F165" s="348" t="str">
        <f t="shared" si="26"/>
        <v>The University of Texas Health Science Center at San Antonio</v>
      </c>
      <c r="G165" s="348" t="str">
        <f t="shared" si="26"/>
        <v>The University of Texas M.D. Anderson Cancer Center</v>
      </c>
      <c r="H165" s="348" t="str">
        <f t="shared" si="26"/>
        <v>The University of Texas Health Center at Tyler</v>
      </c>
      <c r="I165" s="348" t="str">
        <f t="shared" si="26"/>
        <v xml:space="preserve">Texas A&amp;M University System Health Science Center </v>
      </c>
      <c r="J165" s="348" t="str">
        <f t="shared" si="26"/>
        <v>University of North Texas Health Sciences Center at Fort Worth</v>
      </c>
      <c r="K165" s="348" t="str">
        <f t="shared" si="26"/>
        <v xml:space="preserve">Texas Tech University System Health Sciences Center </v>
      </c>
      <c r="L165" s="348" t="str">
        <f t="shared" si="26"/>
        <v>Texas Tech University System Health Sciences Center at El Paso</v>
      </c>
      <c r="M165" s="348" t="str">
        <f t="shared" si="26"/>
        <v>The University of Texas Medical School</v>
      </c>
      <c r="N165" s="348" t="str">
        <f t="shared" si="26"/>
        <v>The University of Texas Rio Grande Valley</v>
      </c>
      <c r="O165" s="348" t="str">
        <f t="shared" si="26"/>
        <v>University of Houston Medical School</v>
      </c>
      <c r="P165" s="350" t="s">
        <v>124</v>
      </c>
      <c r="Q165" s="351" t="s">
        <v>125</v>
      </c>
    </row>
    <row r="166" spans="1:23" ht="15.75" hidden="1" x14ac:dyDescent="0.25">
      <c r="A166" s="380" t="s">
        <v>135</v>
      </c>
      <c r="B166" s="381">
        <v>1.1379999999999999</v>
      </c>
      <c r="C166" s="377"/>
      <c r="D166" s="357">
        <f>'I&amp;O Calc'!$K$22</f>
        <v>760.27</v>
      </c>
      <c r="E166" s="357">
        <f>'I&amp;O Calc'!$K$41</f>
        <v>830.83</v>
      </c>
      <c r="F166" s="357">
        <f>'I&amp;O Calc'!$K$79-0.01</f>
        <v>645.41999999999996</v>
      </c>
      <c r="G166" s="377"/>
      <c r="H166" s="377"/>
      <c r="I166" s="357">
        <f>'I&amp;O Calc'!$K$117+'I&amp;O Calc'!$K$118+ROUND('I&amp;O Calc'!$D$116/30,2)</f>
        <v>395.63</v>
      </c>
      <c r="J166" s="377"/>
      <c r="K166" s="357">
        <f>'I&amp;O Calc'!$K$174</f>
        <v>1529.93</v>
      </c>
      <c r="L166" s="357">
        <f>'I&amp;O Calc'!$K$209</f>
        <v>368.7</v>
      </c>
      <c r="M166" s="377"/>
      <c r="N166" s="377"/>
      <c r="O166" s="377"/>
      <c r="P166" s="357">
        <f>SUM(D166:L166)</f>
        <v>4530.78</v>
      </c>
      <c r="Q166" s="358">
        <f t="shared" ref="Q166:Q168" si="27">COUNTA(C166:N166)</f>
        <v>6</v>
      </c>
    </row>
    <row r="167" spans="1:23" ht="15.75" hidden="1" x14ac:dyDescent="0.25">
      <c r="A167" s="345" t="s">
        <v>136</v>
      </c>
      <c r="B167" s="381">
        <v>1.1379999999999999</v>
      </c>
      <c r="C167" s="377"/>
      <c r="D167" s="357">
        <f>ROUND('I&amp;O Calc'!$G$23/'I&amp;O Calc'!$G$5,2)</f>
        <v>382.83</v>
      </c>
      <c r="E167" s="357">
        <f>ROUND('I&amp;O Calc'!$G$45/'I&amp;O Calc'!$G$5,2)</f>
        <v>485.04</v>
      </c>
      <c r="F167" s="357">
        <f>ROUND('I&amp;O Calc'!$G$80/'I&amp;O Calc'!$G$5,2)</f>
        <v>62.08</v>
      </c>
      <c r="G167" s="377"/>
      <c r="H167" s="377"/>
      <c r="I167" s="357">
        <f>ROUND('I&amp;O Calc'!$G$121/24,2)</f>
        <v>83.67</v>
      </c>
      <c r="J167" s="377"/>
      <c r="K167" s="357">
        <f>ROUND('I&amp;O Calc'!$G$179/'I&amp;O Calc'!$G$5,2)</f>
        <v>454.5</v>
      </c>
      <c r="L167" s="357">
        <f>ROUND('I&amp;O Calc'!$G$212/'I&amp;O Calc'!$G$5,2)</f>
        <v>3.63</v>
      </c>
      <c r="M167" s="377"/>
      <c r="N167" s="377"/>
      <c r="O167" s="377"/>
      <c r="P167" s="357">
        <f>SUM(D167:L167)</f>
        <v>1471.75</v>
      </c>
      <c r="Q167" s="358">
        <f t="shared" si="27"/>
        <v>6</v>
      </c>
    </row>
    <row r="168" spans="1:23" ht="15.75" hidden="1" x14ac:dyDescent="0.25">
      <c r="A168" s="345" t="s">
        <v>137</v>
      </c>
      <c r="B168" s="381">
        <v>1.1379999999999999</v>
      </c>
      <c r="C168" s="377"/>
      <c r="D168" s="357">
        <f>ROUND('I&amp;O Calc'!$J$23/'I&amp;O Calc'!$J$5,2)</f>
        <v>93.39</v>
      </c>
      <c r="E168" s="357">
        <f>ROUND('I&amp;O Calc'!$J$45/'I&amp;O Calc'!$J$5,2)</f>
        <v>332.39</v>
      </c>
      <c r="F168" s="357">
        <f>ROUND('I&amp;O Calc'!$J$80/'I&amp;O Calc'!$J$5,2)+0.02</f>
        <v>208.08</v>
      </c>
      <c r="G168" s="377"/>
      <c r="H168" s="377"/>
      <c r="I168" s="357"/>
      <c r="J168" s="377"/>
      <c r="K168" s="357">
        <f>ROUND('I&amp;O Calc'!$J$179/'I&amp;O Calc'!$J$5,2)</f>
        <v>114.39</v>
      </c>
      <c r="L168" s="357">
        <f>ROUND('I&amp;O Calc'!$J$212/'I&amp;O Calc'!$J$5,2)</f>
        <v>0</v>
      </c>
      <c r="M168" s="377"/>
      <c r="N168" s="377"/>
      <c r="O168" s="377"/>
      <c r="P168" s="357">
        <f>SUM(D168:L168)</f>
        <v>748.25</v>
      </c>
      <c r="Q168" s="358">
        <f t="shared" si="27"/>
        <v>5</v>
      </c>
    </row>
    <row r="169" spans="1:23" ht="15.75" hidden="1" x14ac:dyDescent="0.25">
      <c r="A169" s="382"/>
      <c r="B169" s="382"/>
      <c r="C169" s="382"/>
      <c r="D169" s="369">
        <f>SUM(D166:D168)</f>
        <v>1236.49</v>
      </c>
      <c r="E169" s="369">
        <f>SUM(E166:E168)</f>
        <v>1648.2600000000002</v>
      </c>
      <c r="F169" s="369">
        <f>SUM(F166:F168)</f>
        <v>915.58</v>
      </c>
      <c r="G169" s="383"/>
      <c r="H169" s="383"/>
      <c r="I169" s="369">
        <f>SUM(I166:I168)</f>
        <v>479.3</v>
      </c>
      <c r="J169" s="383"/>
      <c r="K169" s="369">
        <f>SUM(K166:K168)</f>
        <v>2098.8200000000002</v>
      </c>
      <c r="L169" s="369">
        <f>SUM(L166:L168)</f>
        <v>372.33</v>
      </c>
      <c r="M169" s="369">
        <f t="shared" ref="M169:O169" si="28">SUM(M166:M168)</f>
        <v>0</v>
      </c>
      <c r="N169" s="369">
        <f t="shared" si="28"/>
        <v>0</v>
      </c>
      <c r="O169" s="369">
        <f t="shared" si="28"/>
        <v>0</v>
      </c>
      <c r="P169" s="369">
        <f>SUM(P166:P168)</f>
        <v>6750.78</v>
      </c>
      <c r="Q169" s="383"/>
    </row>
    <row r="170" spans="1:23" ht="15" hidden="1" x14ac:dyDescent="0.2">
      <c r="A170" s="382"/>
      <c r="B170" s="384"/>
      <c r="C170" s="384"/>
      <c r="D170" s="378" t="str">
        <f t="shared" ref="D170:P170" si="29">IF(D169&lt;&gt;D27,"Error","")</f>
        <v/>
      </c>
      <c r="E170" s="378" t="str">
        <f t="shared" si="29"/>
        <v/>
      </c>
      <c r="F170" s="378" t="str">
        <f t="shared" si="29"/>
        <v>Error</v>
      </c>
      <c r="G170" s="374" t="str">
        <f t="shared" si="29"/>
        <v/>
      </c>
      <c r="H170" s="374" t="str">
        <f t="shared" si="29"/>
        <v/>
      </c>
      <c r="I170" s="378" t="str">
        <f t="shared" si="29"/>
        <v/>
      </c>
      <c r="J170" s="374" t="str">
        <f t="shared" si="29"/>
        <v/>
      </c>
      <c r="K170" s="378" t="str">
        <f t="shared" si="29"/>
        <v/>
      </c>
      <c r="L170" s="378" t="str">
        <f t="shared" si="29"/>
        <v/>
      </c>
      <c r="M170" s="378" t="str">
        <f t="shared" si="29"/>
        <v/>
      </c>
      <c r="N170" s="378" t="str">
        <f t="shared" si="29"/>
        <v/>
      </c>
      <c r="O170" s="378" t="str">
        <f t="shared" si="29"/>
        <v/>
      </c>
      <c r="P170" s="378" t="str">
        <f t="shared" si="29"/>
        <v>Error</v>
      </c>
    </row>
    <row r="171" spans="1:23" ht="15" hidden="1" x14ac:dyDescent="0.2">
      <c r="A171" s="385"/>
      <c r="B171" s="386"/>
      <c r="C171" s="386"/>
      <c r="D171" s="386"/>
      <c r="E171" s="386"/>
      <c r="F171" s="386"/>
      <c r="G171" s="325"/>
      <c r="I171" s="386"/>
      <c r="K171" s="386"/>
      <c r="L171" s="386"/>
      <c r="M171" s="386"/>
      <c r="N171" s="386"/>
      <c r="O171" s="386"/>
      <c r="P171" s="386"/>
    </row>
    <row r="172" spans="1:23" ht="15" hidden="1" x14ac:dyDescent="0.2">
      <c r="A172" s="387"/>
      <c r="B172" s="388"/>
      <c r="C172" s="388"/>
      <c r="D172" s="388"/>
      <c r="E172" s="388"/>
      <c r="F172" s="388"/>
      <c r="G172" s="325"/>
      <c r="J172" s="325"/>
      <c r="K172" s="325"/>
      <c r="L172" s="325"/>
      <c r="M172" s="325"/>
      <c r="N172" s="325"/>
      <c r="O172" s="325"/>
      <c r="P172" s="325"/>
      <c r="Q172" s="325"/>
      <c r="R172" s="325"/>
    </row>
    <row r="173" spans="1:23" s="391" customFormat="1" ht="10.5" hidden="1" customHeight="1" x14ac:dyDescent="0.2">
      <c r="A173" s="389"/>
      <c r="B173" s="390"/>
      <c r="C173" s="390"/>
      <c r="D173" s="390"/>
      <c r="E173" s="390"/>
      <c r="F173" s="390"/>
      <c r="R173" s="392"/>
    </row>
    <row r="174" spans="1:23" s="325" customFormat="1" ht="10.5" hidden="1" customHeight="1" x14ac:dyDescent="0.2">
      <c r="A174" s="387"/>
      <c r="B174" s="388"/>
      <c r="C174" s="388"/>
      <c r="D174" s="388"/>
      <c r="E174" s="388"/>
      <c r="F174" s="388"/>
      <c r="R174" s="332"/>
    </row>
    <row r="175" spans="1:23" ht="15" hidden="1" x14ac:dyDescent="0.2">
      <c r="A175" s="393"/>
      <c r="B175" s="388"/>
      <c r="C175" s="388"/>
      <c r="D175" s="388"/>
      <c r="E175" s="388"/>
      <c r="F175" s="388"/>
      <c r="G175" s="325"/>
      <c r="J175" s="394"/>
      <c r="K175" s="325"/>
      <c r="L175" s="325"/>
      <c r="M175" s="325"/>
      <c r="N175" s="325"/>
      <c r="O175" s="325"/>
      <c r="P175" s="325"/>
      <c r="Q175" s="325"/>
      <c r="R175" s="395"/>
    </row>
    <row r="176" spans="1:23" ht="99" hidden="1" customHeight="1" x14ac:dyDescent="0.2">
      <c r="A176" s="346" t="s">
        <v>138</v>
      </c>
      <c r="B176" s="347"/>
      <c r="C176" s="348" t="str">
        <f t="shared" ref="C176:O176" si="30">C$23</f>
        <v>The University of Texas Southwestern Medical Center</v>
      </c>
      <c r="D176" s="348" t="str">
        <f t="shared" si="30"/>
        <v>The University of Texas Medical Branch at Galveston</v>
      </c>
      <c r="E176" s="348" t="str">
        <f t="shared" si="30"/>
        <v>The University of Texas Health Science Center at Houston</v>
      </c>
      <c r="F176" s="348" t="str">
        <f t="shared" si="30"/>
        <v>The University of Texas Health Science Center at San Antonio</v>
      </c>
      <c r="G176" s="348" t="str">
        <f t="shared" si="30"/>
        <v>The University of Texas M.D. Anderson Cancer Center</v>
      </c>
      <c r="H176" s="348" t="str">
        <f t="shared" si="30"/>
        <v>The University of Texas Health Center at Tyler</v>
      </c>
      <c r="I176" s="348" t="str">
        <f t="shared" si="30"/>
        <v xml:space="preserve">Texas A&amp;M University System Health Science Center </v>
      </c>
      <c r="J176" s="348" t="str">
        <f t="shared" si="30"/>
        <v>University of North Texas Health Sciences Center at Fort Worth</v>
      </c>
      <c r="K176" s="348" t="str">
        <f t="shared" si="30"/>
        <v xml:space="preserve">Texas Tech University System Health Sciences Center </v>
      </c>
      <c r="L176" s="348" t="str">
        <f t="shared" si="30"/>
        <v>Texas Tech University System Health Sciences Center at El Paso</v>
      </c>
      <c r="M176" s="348" t="str">
        <f t="shared" si="30"/>
        <v>The University of Texas Medical School</v>
      </c>
      <c r="N176" s="348" t="str">
        <f t="shared" si="30"/>
        <v>The University of Texas Rio Grande Valley</v>
      </c>
      <c r="O176" s="348" t="str">
        <f t="shared" si="30"/>
        <v>University of Houston Medical School</v>
      </c>
      <c r="P176" s="350" t="s">
        <v>124</v>
      </c>
      <c r="Q176" s="351" t="s">
        <v>125</v>
      </c>
    </row>
    <row r="177" spans="1:18" ht="17.25" hidden="1" customHeight="1" x14ac:dyDescent="0.2">
      <c r="A177" s="393" t="s">
        <v>139</v>
      </c>
      <c r="B177" s="396"/>
      <c r="C177" s="351"/>
      <c r="D177" s="351"/>
      <c r="E177" s="366"/>
      <c r="F177" s="351"/>
      <c r="G177" s="351"/>
      <c r="H177" s="351"/>
      <c r="I177" s="351"/>
      <c r="J177" s="351"/>
      <c r="K177" s="351"/>
      <c r="L177" s="351"/>
      <c r="M177" s="351"/>
      <c r="N177" s="351"/>
      <c r="O177" s="351"/>
      <c r="P177" s="350"/>
      <c r="Q177" s="351"/>
    </row>
    <row r="178" spans="1:18" ht="15.75" hidden="1" x14ac:dyDescent="0.25">
      <c r="A178" s="333" t="s">
        <v>100</v>
      </c>
      <c r="B178" s="354"/>
      <c r="C178" s="397">
        <f>'I&amp;O Calc'!$R$11</f>
        <v>5162600</v>
      </c>
      <c r="D178" s="397">
        <f>'I&amp;O Calc'!$R$21</f>
        <v>13143866</v>
      </c>
      <c r="E178" s="397">
        <f>'I&amp;O Calc'!$R$36</f>
        <v>728360</v>
      </c>
      <c r="F178" s="397">
        <f>'I&amp;O Calc'!$R$74</f>
        <v>13363702</v>
      </c>
      <c r="G178" s="397">
        <f>'I&amp;O Calc'!$R$86</f>
        <v>3776022</v>
      </c>
      <c r="H178" s="398"/>
      <c r="I178" s="397">
        <f>'I&amp;O Calc'!$R$114</f>
        <v>1502409</v>
      </c>
      <c r="J178" s="397">
        <f>'I&amp;O Calc'!$R$142</f>
        <v>5814660</v>
      </c>
      <c r="K178" s="397">
        <f>'I&amp;O Calc'!$R$164</f>
        <v>21460209</v>
      </c>
      <c r="L178" s="399"/>
      <c r="M178" s="377"/>
      <c r="N178" s="377"/>
      <c r="O178" s="377"/>
      <c r="P178" s="400">
        <f>SUM(C178:O178)</f>
        <v>64951828</v>
      </c>
      <c r="Q178" s="358">
        <f t="shared" ref="Q178:Q185" si="31">COUNTA(C178:N178)</f>
        <v>8</v>
      </c>
    </row>
    <row r="179" spans="1:18" ht="15.75" hidden="1" x14ac:dyDescent="0.25">
      <c r="A179" s="338" t="s">
        <v>101</v>
      </c>
      <c r="B179" s="360"/>
      <c r="C179" s="401">
        <f>'I&amp;O Calc'!$R$10</f>
        <v>7883780</v>
      </c>
      <c r="D179" s="401">
        <f>'I&amp;O Calc'!$R$20</f>
        <v>2506699</v>
      </c>
      <c r="E179" s="401">
        <f>'I&amp;O Calc'!$R$34</f>
        <v>5307676</v>
      </c>
      <c r="F179" s="401">
        <f>'I&amp;O Calc'!$R$67</f>
        <v>2945900</v>
      </c>
      <c r="G179" s="399"/>
      <c r="H179" s="397">
        <f>'I&amp;O Calc'!$R$91</f>
        <v>271794</v>
      </c>
      <c r="I179" s="401">
        <f>'I&amp;O Calc'!$R$112</f>
        <v>2260833</v>
      </c>
      <c r="J179" s="401">
        <f>'I&amp;O Calc'!$R$141</f>
        <v>5666617</v>
      </c>
      <c r="K179" s="401">
        <f>'I&amp;O Calc'!$R$158</f>
        <v>2673138</v>
      </c>
      <c r="L179" s="401">
        <f>'I&amp;O Calc'!$R$203</f>
        <v>420003</v>
      </c>
      <c r="M179" s="377"/>
      <c r="N179" s="377"/>
      <c r="O179" s="377"/>
      <c r="P179" s="402">
        <f t="shared" ref="P179:P185" si="32">SUM(C179:O179)</f>
        <v>29936440</v>
      </c>
      <c r="Q179" s="358">
        <f t="shared" si="31"/>
        <v>9</v>
      </c>
    </row>
    <row r="180" spans="1:18" ht="15.75" hidden="1" x14ac:dyDescent="0.25">
      <c r="A180" s="338" t="s">
        <v>102</v>
      </c>
      <c r="B180" s="360"/>
      <c r="C180" s="399"/>
      <c r="D180" s="399"/>
      <c r="E180" s="401">
        <f>'I&amp;O Calc'!$R$38</f>
        <v>2909928</v>
      </c>
      <c r="F180" s="399"/>
      <c r="G180" s="399"/>
      <c r="H180" s="399"/>
      <c r="I180" s="399"/>
      <c r="J180" s="399"/>
      <c r="K180" s="399"/>
      <c r="L180" s="399"/>
      <c r="M180" s="377"/>
      <c r="N180" s="377"/>
      <c r="O180" s="377"/>
      <c r="P180" s="402">
        <f t="shared" si="32"/>
        <v>2909928</v>
      </c>
      <c r="Q180" s="358">
        <f t="shared" si="31"/>
        <v>1</v>
      </c>
    </row>
    <row r="181" spans="1:18" ht="15.75" hidden="1" x14ac:dyDescent="0.25">
      <c r="A181" s="338" t="s">
        <v>103</v>
      </c>
      <c r="B181" s="360"/>
      <c r="C181" s="399"/>
      <c r="D181" s="401">
        <f>'I&amp;O Calc'!$R$23</f>
        <v>13538889</v>
      </c>
      <c r="E181" s="401">
        <f>'I&amp;O Calc'!$R$45</f>
        <v>18047546</v>
      </c>
      <c r="F181" s="401">
        <f>'I&amp;O Calc'!$R$81</f>
        <v>10119366</v>
      </c>
      <c r="G181" s="399"/>
      <c r="H181" s="399"/>
      <c r="I181" s="401">
        <f>'I&amp;O Calc'!$R$122</f>
        <v>6234314</v>
      </c>
      <c r="J181" s="399"/>
      <c r="K181" s="401">
        <f>'I&amp;O Calc'!$R$179</f>
        <v>23935690</v>
      </c>
      <c r="L181" s="401">
        <f>'I&amp;O Calc'!$R$212</f>
        <v>4076810</v>
      </c>
      <c r="M181" s="377"/>
      <c r="N181" s="377"/>
      <c r="O181" s="377"/>
      <c r="P181" s="402">
        <f t="shared" si="32"/>
        <v>75952615</v>
      </c>
      <c r="Q181" s="358">
        <f t="shared" si="31"/>
        <v>6</v>
      </c>
    </row>
    <row r="182" spans="1:18" ht="15.75" hidden="1" x14ac:dyDescent="0.25">
      <c r="A182" s="338" t="s">
        <v>104</v>
      </c>
      <c r="B182" s="360"/>
      <c r="C182" s="399"/>
      <c r="D182" s="399"/>
      <c r="E182" s="399"/>
      <c r="F182" s="399"/>
      <c r="G182" s="399"/>
      <c r="H182" s="399"/>
      <c r="I182" s="401">
        <f>'I&amp;O Calc'!$R$126</f>
        <v>10852126</v>
      </c>
      <c r="J182" s="401">
        <f>'I&amp;O Calc'!$R$143</f>
        <v>10019794</v>
      </c>
      <c r="K182" s="401">
        <f>'I&amp;O Calc'!$R$189</f>
        <v>15963092</v>
      </c>
      <c r="L182" s="399"/>
      <c r="M182" s="377"/>
      <c r="N182" s="377"/>
      <c r="O182" s="377"/>
      <c r="P182" s="402">
        <f t="shared" si="32"/>
        <v>36835012</v>
      </c>
      <c r="Q182" s="358">
        <f t="shared" si="31"/>
        <v>3</v>
      </c>
    </row>
    <row r="183" spans="1:18" ht="15.75" hidden="1" x14ac:dyDescent="0.25">
      <c r="A183" s="338" t="s">
        <v>105</v>
      </c>
      <c r="B183" s="360"/>
      <c r="C183" s="399"/>
      <c r="D183" s="401">
        <f>'I&amp;O Calc'!$R$24</f>
        <v>888715</v>
      </c>
      <c r="E183" s="401">
        <f>'I&amp;O Calc'!$R$53</f>
        <v>25031481</v>
      </c>
      <c r="F183" s="399"/>
      <c r="G183" s="399"/>
      <c r="H183" s="397">
        <f>'I&amp;O Calc'!$R$92</f>
        <v>1812091</v>
      </c>
      <c r="I183" s="401">
        <f>'I&amp;O Calc'!$R$135</f>
        <v>16884879</v>
      </c>
      <c r="J183" s="401">
        <f>'I&amp;O Calc'!$R$144</f>
        <v>3182286</v>
      </c>
      <c r="K183" s="403">
        <f>'I&amp;O Calc'!$R$193</f>
        <v>1777582</v>
      </c>
      <c r="L183" s="399"/>
      <c r="M183" s="377"/>
      <c r="N183" s="377"/>
      <c r="O183" s="377"/>
      <c r="P183" s="402">
        <f t="shared" si="32"/>
        <v>49577034</v>
      </c>
      <c r="Q183" s="358">
        <f t="shared" si="31"/>
        <v>6</v>
      </c>
    </row>
    <row r="184" spans="1:18" ht="15.75" hidden="1" x14ac:dyDescent="0.25">
      <c r="A184" s="338" t="s">
        <v>106</v>
      </c>
      <c r="B184" s="360"/>
      <c r="C184" s="399"/>
      <c r="D184" s="399"/>
      <c r="E184" s="401">
        <f>'I&amp;O Calc'!$R$30</f>
        <v>22444522</v>
      </c>
      <c r="F184" s="401">
        <f>'I&amp;O Calc'!$R$65</f>
        <v>23049084</v>
      </c>
      <c r="G184" s="399"/>
      <c r="H184" s="399"/>
      <c r="I184" s="401">
        <f>'I&amp;O Calc'!$R$104</f>
        <v>22444522</v>
      </c>
      <c r="J184" s="399"/>
      <c r="K184" s="399"/>
      <c r="L184" s="399"/>
      <c r="M184" s="399"/>
      <c r="N184" s="399"/>
      <c r="O184" s="399"/>
      <c r="P184" s="402">
        <f t="shared" si="32"/>
        <v>67938128</v>
      </c>
      <c r="Q184" s="358">
        <f t="shared" si="31"/>
        <v>3</v>
      </c>
    </row>
    <row r="185" spans="1:18" ht="15.75" hidden="1" x14ac:dyDescent="0.25">
      <c r="A185" s="367" t="s">
        <v>107</v>
      </c>
      <c r="B185" s="361"/>
      <c r="C185" s="401">
        <f>'I&amp;O Calc'!$R$9</f>
        <v>40792736</v>
      </c>
      <c r="D185" s="401">
        <f>'I&amp;O Calc'!$R$18</f>
        <v>43673837</v>
      </c>
      <c r="E185" s="401">
        <f>'I&amp;O Calc'!$R$29</f>
        <v>44771400</v>
      </c>
      <c r="F185" s="401">
        <f>'I&amp;O Calc'!$R$60</f>
        <v>39329319</v>
      </c>
      <c r="G185" s="399"/>
      <c r="H185" s="399"/>
      <c r="I185" s="401">
        <f>'I&amp;O Calc'!$R$102</f>
        <v>31459688</v>
      </c>
      <c r="J185" s="401">
        <f>'I&amp;O Calc'!$R$140</f>
        <v>43216519</v>
      </c>
      <c r="K185" s="403">
        <f>'I&amp;O Calc'!$R$152</f>
        <v>36299162</v>
      </c>
      <c r="L185" s="403">
        <f>'I&amp;O Calc'!$R$200</f>
        <v>19436001</v>
      </c>
      <c r="M185" s="403">
        <f>'I&amp;O Calc'!$R$227</f>
        <v>8871963</v>
      </c>
      <c r="N185" s="403">
        <f>'I&amp;O Calc'!$R$258</f>
        <v>10106720</v>
      </c>
      <c r="O185" s="403">
        <f>'I&amp;O Calc'!$R$284</f>
        <v>1371953</v>
      </c>
      <c r="P185" s="404">
        <f t="shared" si="32"/>
        <v>319329298</v>
      </c>
      <c r="Q185" s="358">
        <f t="shared" si="31"/>
        <v>10</v>
      </c>
    </row>
    <row r="186" spans="1:18" ht="15.75" hidden="1" x14ac:dyDescent="0.25">
      <c r="A186" s="338" t="s">
        <v>139</v>
      </c>
      <c r="B186" s="335"/>
      <c r="C186" s="405">
        <f t="shared" ref="C186:P186" si="33">SUM(C178:C185)</f>
        <v>53839116</v>
      </c>
      <c r="D186" s="405">
        <f t="shared" si="33"/>
        <v>73752006</v>
      </c>
      <c r="E186" s="405">
        <f t="shared" si="33"/>
        <v>119240913</v>
      </c>
      <c r="F186" s="405">
        <f t="shared" si="33"/>
        <v>88807371</v>
      </c>
      <c r="G186" s="405">
        <f t="shared" si="33"/>
        <v>3776022</v>
      </c>
      <c r="H186" s="405">
        <f t="shared" si="33"/>
        <v>2083885</v>
      </c>
      <c r="I186" s="405">
        <f t="shared" si="33"/>
        <v>91638771</v>
      </c>
      <c r="J186" s="405">
        <f t="shared" si="33"/>
        <v>67899876</v>
      </c>
      <c r="K186" s="405">
        <f t="shared" si="33"/>
        <v>102108873</v>
      </c>
      <c r="L186" s="405">
        <f t="shared" si="33"/>
        <v>23932814</v>
      </c>
      <c r="M186" s="405">
        <f t="shared" si="33"/>
        <v>8871963</v>
      </c>
      <c r="N186" s="405">
        <f t="shared" si="33"/>
        <v>10106720</v>
      </c>
      <c r="O186" s="405">
        <f t="shared" si="33"/>
        <v>1371953</v>
      </c>
      <c r="P186" s="406">
        <f t="shared" si="33"/>
        <v>647430283</v>
      </c>
      <c r="Q186" s="334"/>
    </row>
    <row r="187" spans="1:18" ht="15" hidden="1" x14ac:dyDescent="0.2">
      <c r="A187" s="387"/>
      <c r="B187" s="388"/>
      <c r="C187" s="407" t="str">
        <f>IF(C186&lt;&gt;'I&amp;O Calc'!$R362,"Error","")</f>
        <v/>
      </c>
      <c r="D187" s="407" t="str">
        <f>IF(D186&lt;&gt;'I&amp;O Calc'!$R363,"Error","")</f>
        <v/>
      </c>
      <c r="E187" s="407" t="str">
        <f>IF(E186&lt;&gt;'I&amp;O Calc'!$R364,"Error","")</f>
        <v/>
      </c>
      <c r="F187" s="407" t="str">
        <f>IF(F186&lt;&gt;'I&amp;O Calc'!$R365,"Error","")</f>
        <v/>
      </c>
      <c r="G187" s="407" t="str">
        <f>IF(G186&lt;&gt;'I&amp;O Calc'!$R366,"Error","")</f>
        <v/>
      </c>
      <c r="H187" s="407" t="str">
        <f>IF(H186&lt;&gt;'I&amp;O Calc'!$R367,"Error","")</f>
        <v/>
      </c>
      <c r="I187" s="407" t="str">
        <f>IF(I186&lt;&gt;'I&amp;O Calc'!$R368,"Error","")</f>
        <v/>
      </c>
      <c r="J187" s="407" t="str">
        <f>IF(J186&lt;&gt;'I&amp;O Calc'!$R369,"Error","")</f>
        <v/>
      </c>
      <c r="K187" s="407" t="str">
        <f>IF(K186&lt;&gt;'I&amp;O Calc'!$R370,"Error","")</f>
        <v/>
      </c>
      <c r="L187" s="407" t="str">
        <f>IF(L186&lt;&gt;'I&amp;O Calc'!$R371,"Error","")</f>
        <v/>
      </c>
      <c r="M187" s="407" t="str">
        <f>IF(M186&lt;&gt;'I&amp;O Calc'!$R372,"Error","")</f>
        <v/>
      </c>
      <c r="N187" s="407" t="str">
        <f>IF(N186&lt;&gt;'I&amp;O Calc'!$R373,"Error","")</f>
        <v/>
      </c>
      <c r="O187" s="407" t="str">
        <f>IF(O186&lt;&gt;'I&amp;O Calc'!$R374,"Error","")</f>
        <v/>
      </c>
      <c r="P187" s="407" t="str">
        <f>IF(P186&lt;&gt;'I&amp;O Calc'!$R376,"Error","")</f>
        <v/>
      </c>
      <c r="Q187" s="325"/>
      <c r="R187" s="395"/>
    </row>
    <row r="188" spans="1:18" ht="15" hidden="1" x14ac:dyDescent="0.2">
      <c r="A188" s="387"/>
      <c r="B188" s="388"/>
      <c r="C188" s="388"/>
      <c r="D188" s="388"/>
      <c r="E188" s="388"/>
      <c r="F188" s="388"/>
      <c r="G188" s="325"/>
      <c r="J188" s="394"/>
      <c r="K188" s="325"/>
      <c r="L188" s="325"/>
      <c r="M188" s="325"/>
      <c r="N188" s="325"/>
      <c r="O188" s="325"/>
      <c r="P188" s="325"/>
      <c r="Q188" s="325"/>
      <c r="R188" s="395"/>
    </row>
    <row r="189" spans="1:18" ht="15" hidden="1" x14ac:dyDescent="0.2">
      <c r="A189" s="393" t="s">
        <v>140</v>
      </c>
      <c r="B189" s="388"/>
      <c r="C189" s="388"/>
      <c r="D189" s="388"/>
      <c r="E189" s="388"/>
      <c r="F189" s="388"/>
      <c r="G189" s="325"/>
      <c r="J189" s="394"/>
      <c r="K189" s="325"/>
      <c r="L189" s="325"/>
      <c r="M189" s="325"/>
      <c r="N189" s="325"/>
      <c r="O189" s="325"/>
      <c r="P189" s="325"/>
      <c r="Q189" s="325"/>
      <c r="R189" s="395"/>
    </row>
    <row r="190" spans="1:18" ht="15.75" hidden="1" x14ac:dyDescent="0.25">
      <c r="A190" s="333" t="s">
        <v>100</v>
      </c>
      <c r="B190" s="354"/>
      <c r="C190" s="397">
        <f>C178*2</f>
        <v>10325200</v>
      </c>
      <c r="D190" s="397">
        <f t="shared" ref="D190:F190" si="34">D178*2</f>
        <v>26287732</v>
      </c>
      <c r="E190" s="397">
        <f t="shared" si="34"/>
        <v>1456720</v>
      </c>
      <c r="F190" s="397">
        <f t="shared" si="34"/>
        <v>26727404</v>
      </c>
      <c r="G190" s="397">
        <f>G178*2</f>
        <v>7552044</v>
      </c>
      <c r="H190" s="398"/>
      <c r="I190" s="397">
        <f>I178*2</f>
        <v>3004818</v>
      </c>
      <c r="J190" s="397">
        <f>J178*2</f>
        <v>11629320</v>
      </c>
      <c r="K190" s="397">
        <f t="shared" ref="K190:K191" si="35">K178*2</f>
        <v>42920418</v>
      </c>
      <c r="L190" s="399"/>
      <c r="M190" s="399"/>
      <c r="N190" s="399"/>
      <c r="O190" s="399"/>
      <c r="P190" s="400">
        <f t="shared" ref="P190:P197" si="36">SUM(C190:O190)</f>
        <v>129903656</v>
      </c>
      <c r="Q190" s="358">
        <f t="shared" ref="Q190:Q197" si="37">COUNTA(C190:N190)</f>
        <v>8</v>
      </c>
    </row>
    <row r="191" spans="1:18" ht="15.75" hidden="1" x14ac:dyDescent="0.25">
      <c r="A191" s="338" t="s">
        <v>101</v>
      </c>
      <c r="B191" s="360"/>
      <c r="C191" s="401">
        <f>C179*2</f>
        <v>15767560</v>
      </c>
      <c r="D191" s="401">
        <f>D179*2</f>
        <v>5013398</v>
      </c>
      <c r="E191" s="401">
        <f>E179*2</f>
        <v>10615352</v>
      </c>
      <c r="F191" s="401">
        <f>F179*2</f>
        <v>5891800</v>
      </c>
      <c r="G191" s="399"/>
      <c r="H191" s="397">
        <f>H179*2</f>
        <v>543588</v>
      </c>
      <c r="I191" s="401">
        <f>I179*2</f>
        <v>4521666</v>
      </c>
      <c r="J191" s="401">
        <f>J179*2</f>
        <v>11333234</v>
      </c>
      <c r="K191" s="401">
        <f t="shared" si="35"/>
        <v>5346276</v>
      </c>
      <c r="L191" s="397">
        <f>L179*2</f>
        <v>840006</v>
      </c>
      <c r="M191" s="399"/>
      <c r="N191" s="399"/>
      <c r="O191" s="399"/>
      <c r="P191" s="402">
        <f t="shared" si="36"/>
        <v>59872880</v>
      </c>
      <c r="Q191" s="358">
        <f t="shared" si="37"/>
        <v>9</v>
      </c>
    </row>
    <row r="192" spans="1:18" ht="15.75" hidden="1" x14ac:dyDescent="0.25">
      <c r="A192" s="338" t="s">
        <v>102</v>
      </c>
      <c r="B192" s="360"/>
      <c r="C192" s="399"/>
      <c r="D192" s="399"/>
      <c r="E192" s="401">
        <f>E180*2</f>
        <v>5819856</v>
      </c>
      <c r="F192" s="399"/>
      <c r="G192" s="399"/>
      <c r="H192" s="399"/>
      <c r="I192" s="399"/>
      <c r="J192" s="399"/>
      <c r="K192" s="399"/>
      <c r="L192" s="399"/>
      <c r="M192" s="399"/>
      <c r="N192" s="399"/>
      <c r="O192" s="399"/>
      <c r="P192" s="402">
        <f t="shared" si="36"/>
        <v>5819856</v>
      </c>
      <c r="Q192" s="358">
        <f t="shared" si="37"/>
        <v>1</v>
      </c>
    </row>
    <row r="193" spans="1:18" ht="15.75" hidden="1" x14ac:dyDescent="0.25">
      <c r="A193" s="338" t="s">
        <v>103</v>
      </c>
      <c r="B193" s="360"/>
      <c r="C193" s="399"/>
      <c r="D193" s="401">
        <f>D181*2</f>
        <v>27077778</v>
      </c>
      <c r="E193" s="401">
        <f>E181*2</f>
        <v>36095092</v>
      </c>
      <c r="F193" s="401">
        <f>F181*2</f>
        <v>20238732</v>
      </c>
      <c r="G193" s="399"/>
      <c r="H193" s="399"/>
      <c r="I193" s="401">
        <f>I181*2</f>
        <v>12468628</v>
      </c>
      <c r="J193" s="399"/>
      <c r="K193" s="401">
        <f t="shared" ref="K193" si="38">K181*2</f>
        <v>47871380</v>
      </c>
      <c r="L193" s="401">
        <f>L181*2</f>
        <v>8153620</v>
      </c>
      <c r="M193" s="399"/>
      <c r="N193" s="399"/>
      <c r="O193" s="399"/>
      <c r="P193" s="402">
        <f t="shared" si="36"/>
        <v>151905230</v>
      </c>
      <c r="Q193" s="358">
        <f t="shared" si="37"/>
        <v>6</v>
      </c>
    </row>
    <row r="194" spans="1:18" ht="15.75" hidden="1" x14ac:dyDescent="0.25">
      <c r="A194" s="338" t="s">
        <v>104</v>
      </c>
      <c r="B194" s="360"/>
      <c r="C194" s="399"/>
      <c r="D194" s="399"/>
      <c r="E194" s="399"/>
      <c r="F194" s="399"/>
      <c r="G194" s="399"/>
      <c r="H194" s="399"/>
      <c r="I194" s="401">
        <f>I182*2</f>
        <v>21704252</v>
      </c>
      <c r="J194" s="401">
        <f>J182*2</f>
        <v>20039588</v>
      </c>
      <c r="K194" s="401">
        <f>K182*2</f>
        <v>31926184</v>
      </c>
      <c r="L194" s="399"/>
      <c r="M194" s="399"/>
      <c r="N194" s="399"/>
      <c r="O194" s="399"/>
      <c r="P194" s="402">
        <f t="shared" si="36"/>
        <v>73670024</v>
      </c>
      <c r="Q194" s="358">
        <f t="shared" si="37"/>
        <v>3</v>
      </c>
    </row>
    <row r="195" spans="1:18" ht="15.75" hidden="1" x14ac:dyDescent="0.25">
      <c r="A195" s="338" t="s">
        <v>105</v>
      </c>
      <c r="B195" s="360"/>
      <c r="C195" s="399"/>
      <c r="D195" s="401">
        <f>D183*2</f>
        <v>1777430</v>
      </c>
      <c r="E195" s="401">
        <f>E183*2</f>
        <v>50062962</v>
      </c>
      <c r="F195" s="399"/>
      <c r="G195" s="399"/>
      <c r="H195" s="401">
        <f>H183*2</f>
        <v>3624182</v>
      </c>
      <c r="I195" s="401">
        <f>I183*2</f>
        <v>33769758</v>
      </c>
      <c r="J195" s="401">
        <f>J183*2</f>
        <v>6364572</v>
      </c>
      <c r="K195" s="401">
        <f>K183*2</f>
        <v>3555164</v>
      </c>
      <c r="L195" s="399"/>
      <c r="M195" s="399"/>
      <c r="N195" s="399"/>
      <c r="O195" s="399"/>
      <c r="P195" s="402">
        <f t="shared" si="36"/>
        <v>99154068</v>
      </c>
      <c r="Q195" s="358">
        <f t="shared" si="37"/>
        <v>6</v>
      </c>
    </row>
    <row r="196" spans="1:18" ht="15.75" hidden="1" x14ac:dyDescent="0.25">
      <c r="A196" s="338" t="s">
        <v>106</v>
      </c>
      <c r="B196" s="360"/>
      <c r="C196" s="399"/>
      <c r="D196" s="399"/>
      <c r="E196" s="401">
        <f>E184*2</f>
        <v>44889044</v>
      </c>
      <c r="F196" s="401">
        <f>F184*2</f>
        <v>46098168</v>
      </c>
      <c r="G196" s="399"/>
      <c r="H196" s="399"/>
      <c r="I196" s="401">
        <f>I184*2</f>
        <v>44889044</v>
      </c>
      <c r="J196" s="399"/>
      <c r="K196" s="399"/>
      <c r="L196" s="399"/>
      <c r="M196" s="399"/>
      <c r="N196" s="399"/>
      <c r="O196" s="399"/>
      <c r="P196" s="402">
        <f t="shared" si="36"/>
        <v>135876256</v>
      </c>
      <c r="Q196" s="358">
        <f t="shared" si="37"/>
        <v>3</v>
      </c>
    </row>
    <row r="197" spans="1:18" ht="15.75" hidden="1" x14ac:dyDescent="0.25">
      <c r="A197" s="367" t="s">
        <v>107</v>
      </c>
      <c r="B197" s="361"/>
      <c r="C197" s="401">
        <f t="shared" ref="C197:D197" si="39">C185*2</f>
        <v>81585472</v>
      </c>
      <c r="D197" s="401">
        <f t="shared" si="39"/>
        <v>87347674</v>
      </c>
      <c r="E197" s="401">
        <f>E185*2</f>
        <v>89542800</v>
      </c>
      <c r="F197" s="401">
        <f>F185*2</f>
        <v>78658638</v>
      </c>
      <c r="G197" s="399"/>
      <c r="H197" s="399"/>
      <c r="I197" s="401">
        <f>I185*2</f>
        <v>62919376</v>
      </c>
      <c r="J197" s="401">
        <f>J185*2</f>
        <v>86433038</v>
      </c>
      <c r="K197" s="403">
        <f t="shared" ref="K197" si="40">K185*2</f>
        <v>72598324</v>
      </c>
      <c r="L197" s="403">
        <f>L185*2</f>
        <v>38872002</v>
      </c>
      <c r="M197" s="403">
        <f t="shared" ref="M197:O197" si="41">M185*2</f>
        <v>17743926</v>
      </c>
      <c r="N197" s="403">
        <f t="shared" si="41"/>
        <v>20213440</v>
      </c>
      <c r="O197" s="403">
        <f t="shared" si="41"/>
        <v>2743906</v>
      </c>
      <c r="P197" s="404">
        <f t="shared" si="36"/>
        <v>638658596</v>
      </c>
      <c r="Q197" s="358">
        <f t="shared" si="37"/>
        <v>10</v>
      </c>
    </row>
    <row r="198" spans="1:18" ht="15.75" hidden="1" x14ac:dyDescent="0.25">
      <c r="A198" s="338" t="s">
        <v>140</v>
      </c>
      <c r="B198" s="335"/>
      <c r="C198" s="405">
        <f t="shared" ref="C198:P198" si="42">SUM(C190:C197)</f>
        <v>107678232</v>
      </c>
      <c r="D198" s="405">
        <f t="shared" si="42"/>
        <v>147504012</v>
      </c>
      <c r="E198" s="405">
        <f t="shared" si="42"/>
        <v>238481826</v>
      </c>
      <c r="F198" s="405">
        <f t="shared" si="42"/>
        <v>177614742</v>
      </c>
      <c r="G198" s="405">
        <f t="shared" si="42"/>
        <v>7552044</v>
      </c>
      <c r="H198" s="405">
        <f t="shared" si="42"/>
        <v>4167770</v>
      </c>
      <c r="I198" s="405">
        <f t="shared" si="42"/>
        <v>183277542</v>
      </c>
      <c r="J198" s="405">
        <f t="shared" si="42"/>
        <v>135799752</v>
      </c>
      <c r="K198" s="405">
        <f t="shared" si="42"/>
        <v>204217746</v>
      </c>
      <c r="L198" s="405">
        <f t="shared" si="42"/>
        <v>47865628</v>
      </c>
      <c r="M198" s="405">
        <f t="shared" si="42"/>
        <v>17743926</v>
      </c>
      <c r="N198" s="405">
        <f t="shared" si="42"/>
        <v>20213440</v>
      </c>
      <c r="O198" s="405">
        <f t="shared" si="42"/>
        <v>2743906</v>
      </c>
      <c r="P198" s="406">
        <f t="shared" si="42"/>
        <v>1294860566</v>
      </c>
      <c r="Q198" s="334"/>
    </row>
    <row r="199" spans="1:18" ht="15" hidden="1" x14ac:dyDescent="0.2">
      <c r="A199" s="387"/>
      <c r="B199" s="388"/>
      <c r="C199" s="388"/>
      <c r="D199" s="388"/>
      <c r="E199" s="388"/>
      <c r="F199" s="388"/>
      <c r="G199" s="325"/>
      <c r="J199" s="394"/>
      <c r="K199" s="325"/>
      <c r="L199" s="325"/>
      <c r="M199" s="325"/>
      <c r="N199" s="325"/>
      <c r="O199" s="325"/>
      <c r="P199" s="370" t="str">
        <f>IF(P198&lt;&gt;'I&amp;O Calc'!S377,"Error","")</f>
        <v/>
      </c>
      <c r="Q199" s="325"/>
      <c r="R199" s="395"/>
    </row>
    <row r="200" spans="1:18" ht="15" hidden="1" x14ac:dyDescent="0.2">
      <c r="A200" s="387"/>
      <c r="B200" s="388"/>
      <c r="C200" s="388"/>
      <c r="D200" s="388"/>
      <c r="E200" s="388"/>
      <c r="F200" s="388"/>
      <c r="G200" s="325"/>
      <c r="J200" s="394"/>
      <c r="K200" s="325"/>
      <c r="L200" s="325"/>
      <c r="M200" s="325"/>
      <c r="N200" s="325"/>
      <c r="O200" s="325"/>
      <c r="P200" s="325"/>
      <c r="Q200" s="325"/>
      <c r="R200" s="395"/>
    </row>
    <row r="201" spans="1:18" ht="15" hidden="1" x14ac:dyDescent="0.2">
      <c r="B201" s="388"/>
      <c r="C201" s="388"/>
      <c r="D201" s="388"/>
      <c r="E201" s="388"/>
      <c r="F201" s="388"/>
      <c r="G201" s="325"/>
      <c r="J201" s="394"/>
      <c r="K201" s="325"/>
      <c r="L201" s="325"/>
      <c r="M201" s="325"/>
      <c r="N201" s="325"/>
      <c r="O201" s="325"/>
      <c r="P201" s="325"/>
      <c r="Q201" s="325"/>
      <c r="R201" s="395"/>
    </row>
    <row r="202" spans="1:18" s="391" customFormat="1" hidden="1" x14ac:dyDescent="0.2"/>
    <row r="203" spans="1:18" ht="15" hidden="1" x14ac:dyDescent="0.2">
      <c r="A203" s="393"/>
    </row>
    <row r="204" spans="1:18" ht="102" hidden="1" customHeight="1" x14ac:dyDescent="0.2">
      <c r="A204" s="346" t="s">
        <v>100</v>
      </c>
      <c r="B204" s="347"/>
      <c r="C204" s="348" t="str">
        <f t="shared" ref="C204:O204" si="43">C$23</f>
        <v>The University of Texas Southwestern Medical Center</v>
      </c>
      <c r="D204" s="348" t="str">
        <f t="shared" si="43"/>
        <v>The University of Texas Medical Branch at Galveston</v>
      </c>
      <c r="E204" s="348" t="str">
        <f t="shared" si="43"/>
        <v>The University of Texas Health Science Center at Houston</v>
      </c>
      <c r="F204" s="348" t="str">
        <f t="shared" si="43"/>
        <v>The University of Texas Health Science Center at San Antonio</v>
      </c>
      <c r="G204" s="348" t="str">
        <f t="shared" si="43"/>
        <v>The University of Texas M.D. Anderson Cancer Center</v>
      </c>
      <c r="H204" s="348" t="str">
        <f t="shared" si="43"/>
        <v>The University of Texas Health Center at Tyler</v>
      </c>
      <c r="I204" s="348" t="str">
        <f t="shared" si="43"/>
        <v xml:space="preserve">Texas A&amp;M University System Health Science Center </v>
      </c>
      <c r="J204" s="348" t="str">
        <f t="shared" si="43"/>
        <v>University of North Texas Health Sciences Center at Fort Worth</v>
      </c>
      <c r="K204" s="348" t="str">
        <f t="shared" si="43"/>
        <v xml:space="preserve">Texas Tech University System Health Sciences Center </v>
      </c>
      <c r="L204" s="348" t="str">
        <f t="shared" si="43"/>
        <v>Texas Tech University System Health Sciences Center at El Paso</v>
      </c>
      <c r="M204" s="348" t="str">
        <f t="shared" si="43"/>
        <v>The University of Texas Medical School</v>
      </c>
      <c r="N204" s="348" t="str">
        <f t="shared" si="43"/>
        <v>The University of Texas Rio Grande Valley</v>
      </c>
      <c r="O204" s="348" t="str">
        <f t="shared" si="43"/>
        <v>University of Houston Medical School</v>
      </c>
      <c r="P204" s="348" t="s">
        <v>124</v>
      </c>
      <c r="Q204" s="351" t="s">
        <v>125</v>
      </c>
    </row>
    <row r="205" spans="1:18" ht="15.75" hidden="1" customHeight="1" x14ac:dyDescent="0.2">
      <c r="A205" s="393" t="s">
        <v>139</v>
      </c>
      <c r="B205" s="396"/>
      <c r="C205" s="351"/>
      <c r="D205" s="351"/>
      <c r="E205" s="366"/>
      <c r="F205" s="351"/>
      <c r="G205" s="351"/>
      <c r="H205" s="351"/>
      <c r="I205" s="351"/>
      <c r="J205" s="351"/>
      <c r="K205" s="351"/>
      <c r="L205" s="351"/>
      <c r="M205" s="351"/>
      <c r="N205" s="351"/>
      <c r="O205" s="351"/>
      <c r="P205" s="348"/>
      <c r="Q205" s="351"/>
    </row>
    <row r="206" spans="1:18" ht="15.75" hidden="1" x14ac:dyDescent="0.25">
      <c r="A206" s="333" t="s">
        <v>131</v>
      </c>
      <c r="B206" s="354"/>
      <c r="C206" s="397">
        <f>ROUND(('I&amp;O Calc'!$D$11/30)*'I&amp;O Calc'!L11*'I&amp;O Calc'!M5,0)</f>
        <v>0</v>
      </c>
      <c r="D206" s="397">
        <f>ROUND(('I&amp;O Calc'!$D$21/30)*'I&amp;O Calc'!L21*'I&amp;O Calc'!M5,0)</f>
        <v>1309188</v>
      </c>
      <c r="E206" s="397">
        <f>ROUND(('I&amp;O Calc'!$D$36/30)*'I&amp;O Calc'!L36*'I&amp;O Calc'!M5,0)</f>
        <v>728360</v>
      </c>
      <c r="F206" s="397">
        <f>ROUND(('I&amp;O Calc'!$D$74/30)*'I&amp;O Calc'!L73*'I&amp;O Calc'!M5,0)+'I&amp;O Calc'!D77</f>
        <v>3108473</v>
      </c>
      <c r="G206" s="397">
        <f>ROUND(('I&amp;O Calc'!$D$86/30)*'I&amp;O Calc'!L86*'I&amp;O Calc'!M5,0)+'I&amp;O Calc'!O86</f>
        <v>3484967</v>
      </c>
      <c r="H206" s="398"/>
      <c r="I206" s="397">
        <f>ROUND(('I&amp;O Calc'!$D$114/30)*'I&amp;O Calc'!L114*'I&amp;O Calc'!M5,0)+'I&amp;O Calc'!O114</f>
        <v>1502377</v>
      </c>
      <c r="J206" s="397">
        <f>ROUND(('I&amp;O Calc'!$D$142/30)*'I&amp;O Calc'!L142*'I&amp;O Calc'!M5,0)</f>
        <v>0</v>
      </c>
      <c r="K206" s="397">
        <f>ROUND(('I&amp;O Calc'!$D$164/30)*'I&amp;O Calc'!$L$160*'I&amp;O Calc'!$M$5,0)-5</f>
        <v>3005161</v>
      </c>
      <c r="L206" s="398"/>
      <c r="M206" s="398"/>
      <c r="N206" s="398"/>
      <c r="O206" s="398"/>
      <c r="P206" s="397">
        <f>SUM(C206:O206)</f>
        <v>13138526</v>
      </c>
      <c r="Q206" s="358">
        <f t="shared" ref="Q206:Q208" si="44">COUNTA(C206:N206)</f>
        <v>8</v>
      </c>
    </row>
    <row r="207" spans="1:18" ht="15.75" hidden="1" x14ac:dyDescent="0.25">
      <c r="A207" s="333" t="s">
        <v>132</v>
      </c>
      <c r="B207" s="354"/>
      <c r="C207" s="397">
        <f>ROUND(('I&amp;O Calc'!$G$11/24)*'I&amp;O Calc'!L11*'I&amp;O Calc'!M5,0)-32</f>
        <v>5072188</v>
      </c>
      <c r="D207" s="397">
        <f>ROUND(('I&amp;O Calc'!$G$21/24)*'I&amp;O Calc'!L21*'I&amp;O Calc'!M5,0)</f>
        <v>8930507</v>
      </c>
      <c r="E207" s="397"/>
      <c r="F207" s="397">
        <f>ROUND(('I&amp;O Calc'!$G$74/24)*'I&amp;O Calc'!L73*'I&amp;O Calc'!M5,0)+'I&amp;O Calc'!G77+96</f>
        <v>7388086</v>
      </c>
      <c r="G207" s="397">
        <f>ROUND(('I&amp;O Calc'!$G$86/24)*'I&amp;O Calc'!L86*'I&amp;O Calc'!M5,0)+15</f>
        <v>291070</v>
      </c>
      <c r="H207" s="398"/>
      <c r="I207" s="397">
        <f>ROUND(('I&amp;O Calc'!$G$114/24)*'I&amp;O Calc'!L114*'I&amp;O Calc'!M5,0)</f>
        <v>0</v>
      </c>
      <c r="J207" s="397">
        <f>ROUND(('I&amp;O Calc'!$G$142/24)*'I&amp;O Calc'!L142*'I&amp;O Calc'!M5,0)+'I&amp;O Calc'!O142-32</f>
        <v>5814660</v>
      </c>
      <c r="K207" s="397">
        <f>ROUND(('I&amp;O Calc'!$G$164/24)*'I&amp;O Calc'!$L$160*'I&amp;O Calc'!$M$5,0)+'I&amp;O Calc'!G167+'I&amp;O Calc'!G169</f>
        <v>16916058</v>
      </c>
      <c r="L207" s="398"/>
      <c r="M207" s="398"/>
      <c r="N207" s="398"/>
      <c r="O207" s="398"/>
      <c r="P207" s="397">
        <f t="shared" ref="P207:P208" si="45">SUM(C207:O207)</f>
        <v>44412569</v>
      </c>
      <c r="Q207" s="358">
        <f t="shared" si="44"/>
        <v>7</v>
      </c>
    </row>
    <row r="208" spans="1:18" ht="15.75" hidden="1" x14ac:dyDescent="0.25">
      <c r="A208" s="333" t="s">
        <v>133</v>
      </c>
      <c r="B208" s="354"/>
      <c r="C208" s="397">
        <f>ROUND(('I&amp;O Calc'!$J$11/18)*'I&amp;O Calc'!L11*'I&amp;O Calc'!M5,0)</f>
        <v>90337</v>
      </c>
      <c r="D208" s="397">
        <f>ROUND(('I&amp;O Calc'!$J$21/18)*'I&amp;O Calc'!L21*'I&amp;O Calc'!M5,0)+43</f>
        <v>2904182</v>
      </c>
      <c r="E208" s="397"/>
      <c r="F208" s="397">
        <f>ROUND(('I&amp;O Calc'!$J$74/18)*'I&amp;O Calc'!L73*'I&amp;O Calc'!M5,0)</f>
        <v>2867256</v>
      </c>
      <c r="G208" s="397">
        <f>ROUND(('I&amp;O Calc'!$J$86/18)*'I&amp;O Calc'!L86*'I&amp;O Calc'!M5,0)</f>
        <v>0</v>
      </c>
      <c r="H208" s="398"/>
      <c r="I208" s="397">
        <f>ROUND(('I&amp;O Calc'!$J$114/18)*'I&amp;O Calc'!L114*'I&amp;O Calc'!M5,0)</f>
        <v>0</v>
      </c>
      <c r="J208" s="397">
        <f>ROUND(('I&amp;O Calc'!$J$142/18)*'I&amp;O Calc'!L142*'I&amp;O Calc'!M5,0)</f>
        <v>0</v>
      </c>
      <c r="K208" s="397">
        <f>ROUND(('I&amp;O Calc'!$J$164/18)*'I&amp;O Calc'!L160*'I&amp;O Calc'!M5,0)+'I&amp;O Calc'!J167+'I&amp;O Calc'!J169</f>
        <v>1538932</v>
      </c>
      <c r="L208" s="398"/>
      <c r="M208" s="398"/>
      <c r="N208" s="398"/>
      <c r="O208" s="398"/>
      <c r="P208" s="397">
        <f t="shared" si="45"/>
        <v>7400707</v>
      </c>
      <c r="Q208" s="358">
        <f t="shared" si="44"/>
        <v>7</v>
      </c>
    </row>
    <row r="209" spans="1:17" ht="15" hidden="1" x14ac:dyDescent="0.2">
      <c r="C209" s="405">
        <f t="shared" ref="C209:P209" si="46">SUM(C206:C208)</f>
        <v>5162525</v>
      </c>
      <c r="D209" s="405">
        <f t="shared" si="46"/>
        <v>13143877</v>
      </c>
      <c r="E209" s="405">
        <f t="shared" si="46"/>
        <v>728360</v>
      </c>
      <c r="F209" s="405">
        <f t="shared" si="46"/>
        <v>13363815</v>
      </c>
      <c r="G209" s="405">
        <f t="shared" si="46"/>
        <v>3776037</v>
      </c>
      <c r="H209" s="405">
        <f t="shared" si="46"/>
        <v>0</v>
      </c>
      <c r="I209" s="405">
        <f t="shared" si="46"/>
        <v>1502377</v>
      </c>
      <c r="J209" s="405">
        <f t="shared" si="46"/>
        <v>5814660</v>
      </c>
      <c r="K209" s="405">
        <f t="shared" ref="K209" si="47">SUM(K206:K208)</f>
        <v>21460151</v>
      </c>
      <c r="L209" s="405">
        <f t="shared" si="46"/>
        <v>0</v>
      </c>
      <c r="M209" s="405">
        <f t="shared" ref="M209:O209" si="48">SUM(M206:M208)</f>
        <v>0</v>
      </c>
      <c r="N209" s="405">
        <f t="shared" si="48"/>
        <v>0</v>
      </c>
      <c r="O209" s="405">
        <f t="shared" si="48"/>
        <v>0</v>
      </c>
      <c r="P209" s="405">
        <f t="shared" si="46"/>
        <v>64951802</v>
      </c>
    </row>
    <row r="210" spans="1:17" ht="15" hidden="1" x14ac:dyDescent="0.2">
      <c r="C210" s="378" t="str">
        <f t="shared" ref="C210:P210" si="49">IF(C209&lt;&gt;C178,"Error","")</f>
        <v>Error</v>
      </c>
      <c r="D210" s="378" t="str">
        <f t="shared" si="49"/>
        <v>Error</v>
      </c>
      <c r="E210" s="378" t="str">
        <f t="shared" si="49"/>
        <v/>
      </c>
      <c r="F210" s="378" t="str">
        <f t="shared" si="49"/>
        <v>Error</v>
      </c>
      <c r="G210" s="378" t="str">
        <f t="shared" si="49"/>
        <v>Error</v>
      </c>
      <c r="H210" s="378" t="str">
        <f t="shared" si="49"/>
        <v/>
      </c>
      <c r="I210" s="378" t="str">
        <f t="shared" si="49"/>
        <v>Error</v>
      </c>
      <c r="J210" s="378" t="str">
        <f t="shared" si="49"/>
        <v/>
      </c>
      <c r="K210" s="378" t="str">
        <f t="shared" si="49"/>
        <v>Error</v>
      </c>
      <c r="L210" s="378" t="str">
        <f t="shared" si="49"/>
        <v/>
      </c>
      <c r="M210" s="378" t="str">
        <f t="shared" si="49"/>
        <v/>
      </c>
      <c r="N210" s="378" t="str">
        <f t="shared" si="49"/>
        <v/>
      </c>
      <c r="O210" s="378" t="str">
        <f t="shared" si="49"/>
        <v/>
      </c>
      <c r="P210" s="378" t="str">
        <f t="shared" si="49"/>
        <v>Error</v>
      </c>
    </row>
    <row r="211" spans="1:17" hidden="1" x14ac:dyDescent="0.2">
      <c r="C211" s="408">
        <f>C209-C178</f>
        <v>-75</v>
      </c>
      <c r="D211" s="408">
        <f t="shared" ref="D211:P211" si="50">D209-D178</f>
        <v>11</v>
      </c>
      <c r="E211" s="408">
        <f t="shared" si="50"/>
        <v>0</v>
      </c>
      <c r="F211" s="408">
        <f t="shared" si="50"/>
        <v>113</v>
      </c>
      <c r="G211" s="408">
        <f t="shared" si="50"/>
        <v>15</v>
      </c>
      <c r="H211" s="408">
        <f t="shared" si="50"/>
        <v>0</v>
      </c>
      <c r="I211" s="408">
        <f t="shared" si="50"/>
        <v>-32</v>
      </c>
      <c r="J211" s="408">
        <f t="shared" si="50"/>
        <v>0</v>
      </c>
      <c r="K211" s="408">
        <f t="shared" si="50"/>
        <v>-58</v>
      </c>
      <c r="L211" s="408">
        <f t="shared" si="50"/>
        <v>0</v>
      </c>
      <c r="M211" s="408">
        <f t="shared" si="50"/>
        <v>0</v>
      </c>
      <c r="N211" s="408">
        <f t="shared" si="50"/>
        <v>0</v>
      </c>
      <c r="O211" s="408">
        <f t="shared" si="50"/>
        <v>0</v>
      </c>
      <c r="P211" s="408">
        <f t="shared" si="50"/>
        <v>-26</v>
      </c>
    </row>
    <row r="212" spans="1:17" ht="15" hidden="1" x14ac:dyDescent="0.2">
      <c r="A212" s="393" t="s">
        <v>140</v>
      </c>
    </row>
    <row r="213" spans="1:17" ht="15.75" hidden="1" x14ac:dyDescent="0.25">
      <c r="A213" s="333" t="s">
        <v>131</v>
      </c>
      <c r="B213" s="354"/>
      <c r="C213" s="397">
        <f>C206*2</f>
        <v>0</v>
      </c>
      <c r="D213" s="397">
        <f t="shared" ref="D213:G213" si="51">D206*2</f>
        <v>2618376</v>
      </c>
      <c r="E213" s="397">
        <f t="shared" si="51"/>
        <v>1456720</v>
      </c>
      <c r="F213" s="397">
        <f t="shared" si="51"/>
        <v>6216946</v>
      </c>
      <c r="G213" s="397">
        <f t="shared" si="51"/>
        <v>6969934</v>
      </c>
      <c r="H213" s="398"/>
      <c r="I213" s="397">
        <f t="shared" ref="I213:K215" si="52">I206*2</f>
        <v>3004754</v>
      </c>
      <c r="J213" s="397">
        <f t="shared" si="52"/>
        <v>0</v>
      </c>
      <c r="K213" s="397">
        <f t="shared" si="52"/>
        <v>6010322</v>
      </c>
      <c r="L213" s="398"/>
      <c r="M213" s="398"/>
      <c r="N213" s="398"/>
      <c r="O213" s="398"/>
      <c r="P213" s="397">
        <f t="shared" ref="P213:P215" si="53">SUM(C213:O213)</f>
        <v>26277052</v>
      </c>
      <c r="Q213" s="358">
        <f t="shared" ref="Q213:Q215" si="54">COUNTA(C213:N213)</f>
        <v>8</v>
      </c>
    </row>
    <row r="214" spans="1:17" ht="15.75" hidden="1" x14ac:dyDescent="0.25">
      <c r="A214" s="333" t="s">
        <v>132</v>
      </c>
      <c r="B214" s="354"/>
      <c r="C214" s="397">
        <f t="shared" ref="C214:G215" si="55">C207*2</f>
        <v>10144376</v>
      </c>
      <c r="D214" s="397">
        <f t="shared" si="55"/>
        <v>17861014</v>
      </c>
      <c r="E214" s="397">
        <f t="shared" si="55"/>
        <v>0</v>
      </c>
      <c r="F214" s="397">
        <f t="shared" si="55"/>
        <v>14776172</v>
      </c>
      <c r="G214" s="397">
        <f t="shared" si="55"/>
        <v>582140</v>
      </c>
      <c r="H214" s="398"/>
      <c r="I214" s="397">
        <f t="shared" si="52"/>
        <v>0</v>
      </c>
      <c r="J214" s="397">
        <f t="shared" si="52"/>
        <v>11629320</v>
      </c>
      <c r="K214" s="397">
        <f t="shared" si="52"/>
        <v>33832116</v>
      </c>
      <c r="L214" s="398"/>
      <c r="M214" s="398"/>
      <c r="N214" s="398"/>
      <c r="O214" s="398"/>
      <c r="P214" s="397">
        <f t="shared" si="53"/>
        <v>88825138</v>
      </c>
      <c r="Q214" s="358">
        <f t="shared" si="54"/>
        <v>8</v>
      </c>
    </row>
    <row r="215" spans="1:17" ht="15.75" hidden="1" x14ac:dyDescent="0.25">
      <c r="A215" s="333" t="s">
        <v>133</v>
      </c>
      <c r="B215" s="354"/>
      <c r="C215" s="397">
        <f t="shared" si="55"/>
        <v>180674</v>
      </c>
      <c r="D215" s="397">
        <f t="shared" si="55"/>
        <v>5808364</v>
      </c>
      <c r="E215" s="397">
        <f t="shared" si="55"/>
        <v>0</v>
      </c>
      <c r="F215" s="397">
        <f t="shared" si="55"/>
        <v>5734512</v>
      </c>
      <c r="G215" s="397">
        <f t="shared" si="55"/>
        <v>0</v>
      </c>
      <c r="H215" s="398"/>
      <c r="I215" s="397">
        <f t="shared" si="52"/>
        <v>0</v>
      </c>
      <c r="J215" s="397">
        <f t="shared" si="52"/>
        <v>0</v>
      </c>
      <c r="K215" s="397">
        <f t="shared" si="52"/>
        <v>3077864</v>
      </c>
      <c r="L215" s="398"/>
      <c r="M215" s="398"/>
      <c r="N215" s="398"/>
      <c r="O215" s="398"/>
      <c r="P215" s="397">
        <f t="shared" si="53"/>
        <v>14801414</v>
      </c>
      <c r="Q215" s="358">
        <f t="shared" si="54"/>
        <v>8</v>
      </c>
    </row>
    <row r="216" spans="1:17" ht="15" hidden="1" x14ac:dyDescent="0.2">
      <c r="C216" s="405">
        <f t="shared" ref="C216:P216" si="56">SUM(C213:C215)</f>
        <v>10325050</v>
      </c>
      <c r="D216" s="405">
        <f t="shared" si="56"/>
        <v>26287754</v>
      </c>
      <c r="E216" s="405">
        <f t="shared" si="56"/>
        <v>1456720</v>
      </c>
      <c r="F216" s="405">
        <f t="shared" si="56"/>
        <v>26727630</v>
      </c>
      <c r="G216" s="405">
        <f t="shared" si="56"/>
        <v>7552074</v>
      </c>
      <c r="H216" s="405">
        <f t="shared" si="56"/>
        <v>0</v>
      </c>
      <c r="I216" s="405">
        <f t="shared" si="56"/>
        <v>3004754</v>
      </c>
      <c r="J216" s="405">
        <f t="shared" si="56"/>
        <v>11629320</v>
      </c>
      <c r="K216" s="405">
        <f t="shared" si="56"/>
        <v>42920302</v>
      </c>
      <c r="L216" s="405">
        <f t="shared" si="56"/>
        <v>0</v>
      </c>
      <c r="M216" s="405">
        <f t="shared" si="56"/>
        <v>0</v>
      </c>
      <c r="N216" s="405">
        <f t="shared" si="56"/>
        <v>0</v>
      </c>
      <c r="O216" s="405">
        <f t="shared" si="56"/>
        <v>0</v>
      </c>
      <c r="P216" s="405">
        <f t="shared" si="56"/>
        <v>129903604</v>
      </c>
    </row>
    <row r="217" spans="1:17" ht="15" hidden="1" x14ac:dyDescent="0.2">
      <c r="C217" s="378" t="str">
        <f t="shared" ref="C217:P217" si="57">IF(C216&lt;&gt;C190,"Error","")</f>
        <v>Error</v>
      </c>
      <c r="D217" s="378" t="str">
        <f t="shared" si="57"/>
        <v>Error</v>
      </c>
      <c r="E217" s="378" t="str">
        <f t="shared" si="57"/>
        <v/>
      </c>
      <c r="F217" s="378" t="str">
        <f t="shared" si="57"/>
        <v>Error</v>
      </c>
      <c r="G217" s="378" t="str">
        <f t="shared" si="57"/>
        <v>Error</v>
      </c>
      <c r="H217" s="378" t="str">
        <f t="shared" si="57"/>
        <v/>
      </c>
      <c r="I217" s="378" t="str">
        <f t="shared" si="57"/>
        <v>Error</v>
      </c>
      <c r="J217" s="378" t="str">
        <f t="shared" si="57"/>
        <v/>
      </c>
      <c r="K217" s="378" t="str">
        <f t="shared" si="57"/>
        <v>Error</v>
      </c>
      <c r="L217" s="378" t="str">
        <f t="shared" si="57"/>
        <v/>
      </c>
      <c r="M217" s="378" t="str">
        <f t="shared" si="57"/>
        <v/>
      </c>
      <c r="N217" s="378" t="str">
        <f t="shared" si="57"/>
        <v/>
      </c>
      <c r="O217" s="378" t="str">
        <f t="shared" si="57"/>
        <v/>
      </c>
      <c r="P217" s="378" t="str">
        <f t="shared" si="57"/>
        <v>Error</v>
      </c>
    </row>
    <row r="218" spans="1:17" hidden="1" x14ac:dyDescent="0.2">
      <c r="C218" s="408">
        <f>C216-C190</f>
        <v>-150</v>
      </c>
      <c r="D218" s="408">
        <f t="shared" ref="D218:P218" si="58">D216-D190</f>
        <v>22</v>
      </c>
      <c r="E218" s="408">
        <f t="shared" si="58"/>
        <v>0</v>
      </c>
      <c r="F218" s="408">
        <f t="shared" si="58"/>
        <v>226</v>
      </c>
      <c r="G218" s="408">
        <f t="shared" si="58"/>
        <v>30</v>
      </c>
      <c r="H218" s="408">
        <f t="shared" si="58"/>
        <v>0</v>
      </c>
      <c r="I218" s="408">
        <f t="shared" si="58"/>
        <v>-64</v>
      </c>
      <c r="J218" s="408">
        <f t="shared" si="58"/>
        <v>0</v>
      </c>
      <c r="K218" s="408">
        <f t="shared" si="58"/>
        <v>-116</v>
      </c>
      <c r="L218" s="408">
        <f t="shared" si="58"/>
        <v>0</v>
      </c>
      <c r="M218" s="408">
        <f t="shared" si="58"/>
        <v>0</v>
      </c>
      <c r="N218" s="408">
        <f t="shared" si="58"/>
        <v>0</v>
      </c>
      <c r="O218" s="408">
        <f t="shared" si="58"/>
        <v>0</v>
      </c>
      <c r="P218" s="408">
        <f t="shared" si="58"/>
        <v>-52</v>
      </c>
    </row>
    <row r="219" spans="1:17" ht="15" hidden="1" x14ac:dyDescent="0.2">
      <c r="D219" s="334"/>
      <c r="E219" s="334"/>
      <c r="F219" s="334"/>
      <c r="I219" s="334"/>
      <c r="K219" s="334"/>
      <c r="L219" s="334"/>
      <c r="M219" s="334"/>
      <c r="N219" s="334"/>
      <c r="O219" s="334"/>
      <c r="P219" s="334"/>
    </row>
    <row r="220" spans="1:17" s="391" customFormat="1" hidden="1" x14ac:dyDescent="0.2"/>
    <row r="221" spans="1:17" ht="15" hidden="1" x14ac:dyDescent="0.2">
      <c r="A221" s="393"/>
      <c r="B221" s="379"/>
      <c r="C221" s="379"/>
      <c r="D221" s="379"/>
      <c r="E221" s="379"/>
      <c r="F221" s="379"/>
      <c r="G221" s="325"/>
    </row>
    <row r="222" spans="1:17" ht="99" hidden="1" customHeight="1" x14ac:dyDescent="0.2">
      <c r="A222" s="346" t="s">
        <v>103</v>
      </c>
      <c r="B222" s="347"/>
      <c r="C222" s="348" t="str">
        <f t="shared" ref="C222:O222" si="59">C$23</f>
        <v>The University of Texas Southwestern Medical Center</v>
      </c>
      <c r="D222" s="348" t="str">
        <f t="shared" si="59"/>
        <v>The University of Texas Medical Branch at Galveston</v>
      </c>
      <c r="E222" s="348" t="str">
        <f t="shared" si="59"/>
        <v>The University of Texas Health Science Center at Houston</v>
      </c>
      <c r="F222" s="348" t="str">
        <f t="shared" si="59"/>
        <v>The University of Texas Health Science Center at San Antonio</v>
      </c>
      <c r="G222" s="348" t="str">
        <f t="shared" si="59"/>
        <v>The University of Texas M.D. Anderson Cancer Center</v>
      </c>
      <c r="H222" s="348" t="str">
        <f t="shared" si="59"/>
        <v>The University of Texas Health Center at Tyler</v>
      </c>
      <c r="I222" s="348" t="str">
        <f t="shared" si="59"/>
        <v xml:space="preserve">Texas A&amp;M University System Health Science Center </v>
      </c>
      <c r="J222" s="348" t="str">
        <f t="shared" si="59"/>
        <v>University of North Texas Health Sciences Center at Fort Worth</v>
      </c>
      <c r="K222" s="348" t="str">
        <f t="shared" si="59"/>
        <v xml:space="preserve">Texas Tech University System Health Sciences Center </v>
      </c>
      <c r="L222" s="348" t="str">
        <f t="shared" si="59"/>
        <v>Texas Tech University System Health Sciences Center at El Paso</v>
      </c>
      <c r="M222" s="348" t="str">
        <f t="shared" si="59"/>
        <v>The University of Texas Medical School</v>
      </c>
      <c r="N222" s="348" t="str">
        <f t="shared" si="59"/>
        <v>The University of Texas Rio Grande Valley</v>
      </c>
      <c r="O222" s="348" t="str">
        <f t="shared" si="59"/>
        <v>University of Houston Medical School</v>
      </c>
      <c r="P222" s="348" t="s">
        <v>124</v>
      </c>
      <c r="Q222" s="351" t="s">
        <v>125</v>
      </c>
    </row>
    <row r="223" spans="1:17" ht="15.75" hidden="1" customHeight="1" x14ac:dyDescent="0.2">
      <c r="A223" s="393" t="s">
        <v>139</v>
      </c>
      <c r="B223" s="409"/>
      <c r="C223" s="351"/>
      <c r="D223" s="351"/>
      <c r="E223" s="366"/>
      <c r="F223" s="351"/>
      <c r="G223" s="351"/>
      <c r="H223" s="351"/>
      <c r="I223" s="351"/>
      <c r="J223" s="351"/>
      <c r="K223" s="351"/>
      <c r="L223" s="351"/>
      <c r="M223" s="351"/>
      <c r="N223" s="351"/>
      <c r="O223" s="351"/>
      <c r="P223" s="348"/>
      <c r="Q223" s="351"/>
    </row>
    <row r="224" spans="1:17" ht="15.75" hidden="1" x14ac:dyDescent="0.25">
      <c r="A224" s="380" t="s">
        <v>135</v>
      </c>
      <c r="B224" s="381"/>
      <c r="C224" s="399"/>
      <c r="D224" s="397">
        <f>ROUND(('I&amp;O Calc'!$Q$22),2)</f>
        <v>8324540.6900000004</v>
      </c>
      <c r="E224" s="397">
        <f>ROUND(('I&amp;O Calc'!$D$41/30)*'I&amp;O Calc'!L41*'I&amp;O Calc'!M5,2)</f>
        <v>9097170.5899999999</v>
      </c>
      <c r="F224" s="397">
        <f>ROUND(('I&amp;O Calc'!$D$79/30)*'I&amp;O Calc'!L79*'I&amp;O Calc'!M5,2)</f>
        <v>7067141.9900000002</v>
      </c>
      <c r="G224" s="399"/>
      <c r="H224" s="399"/>
      <c r="I224" s="410">
        <f>ROUND(('I&amp;O Calc'!$D$119/30)*'I&amp;O Calc'!L116*'I&amp;O Calc'!M5,2)+'I&amp;O Calc'!O119-18.1</f>
        <v>5318191.5200000005</v>
      </c>
      <c r="J224" s="399"/>
      <c r="K224" s="410">
        <f>ROUND(('I&amp;O Calc'!$D$174/30)*'I&amp;O Calc'!L171*'I&amp;O Calc'!M5,2)+'I&amp;O Calc'!D183-12.42</f>
        <v>17706679.809999999</v>
      </c>
      <c r="L224" s="410">
        <f>ROUND(('I&amp;O Calc'!$D$209/30)*'I&amp;O Calc'!L208*'I&amp;O Calc'!M5,2)+'I&amp;O Calc'!D215+18.51</f>
        <v>4037081.86</v>
      </c>
      <c r="M224" s="398"/>
      <c r="N224" s="398"/>
      <c r="O224" s="398"/>
      <c r="P224" s="397">
        <f t="shared" ref="P224:P226" si="60">SUM(C224:O224)</f>
        <v>51550806.460000001</v>
      </c>
      <c r="Q224" s="358">
        <f t="shared" ref="Q224:Q226" si="61">COUNTA(C224:N224)</f>
        <v>6</v>
      </c>
    </row>
    <row r="225" spans="1:18" ht="15.75" hidden="1" x14ac:dyDescent="0.25">
      <c r="A225" s="345" t="s">
        <v>136</v>
      </c>
      <c r="B225" s="381"/>
      <c r="C225" s="399"/>
      <c r="D225" s="397">
        <f>ROUND(('I&amp;O Calc'!$G$23/24)*'I&amp;O Calc'!L23*'I&amp;O Calc'!M5,2)</f>
        <v>4191815.62</v>
      </c>
      <c r="E225" s="397">
        <f>ROUND(('I&amp;O Calc'!$G$45/24)*'I&amp;O Calc'!$L$44*'I&amp;O Calc'!M5,2)</f>
        <v>5310940.97</v>
      </c>
      <c r="F225" s="397">
        <f>ROUND(('I&amp;O Calc'!$G$80/24)*'I&amp;O Calc'!L80*'I&amp;O Calc'!M5,2)</f>
        <v>679778.54</v>
      </c>
      <c r="G225" s="399"/>
      <c r="H225" s="399"/>
      <c r="I225" s="397">
        <f>ROUND(('I&amp;O Calc'!$G$121/24)*'I&amp;O Calc'!L116*'I&amp;O Calc'!M5,2)</f>
        <v>916104.24</v>
      </c>
      <c r="J225" s="399"/>
      <c r="K225" s="410">
        <f>ROUND(('I&amp;O Calc'!$G$179/24)*'I&amp;O Calc'!L176*'I&amp;O Calc'!M5,2)+'I&amp;O Calc'!G183</f>
        <v>4976526.42</v>
      </c>
      <c r="L225" s="410">
        <f>ROUND(('I&amp;O Calc'!$G$212/24)*'I&amp;O Calc'!L211*'I&amp;O Calc'!M5,2)+'I&amp;O Calc'!G215</f>
        <v>39691.769999999997</v>
      </c>
      <c r="M225" s="398"/>
      <c r="N225" s="398"/>
      <c r="O225" s="398"/>
      <c r="P225" s="397">
        <f t="shared" si="60"/>
        <v>16114857.559999999</v>
      </c>
      <c r="Q225" s="358">
        <f t="shared" si="61"/>
        <v>6</v>
      </c>
    </row>
    <row r="226" spans="1:18" ht="15.75" hidden="1" x14ac:dyDescent="0.25">
      <c r="A226" s="345" t="s">
        <v>137</v>
      </c>
      <c r="B226" s="381"/>
      <c r="C226" s="399"/>
      <c r="D226" s="397">
        <f>ROUND(('I&amp;O Calc'!$J$23/18)*'I&amp;O Calc'!L23*'I&amp;O Calc'!M5,2)-6.53</f>
        <v>1022550.73</v>
      </c>
      <c r="E226" s="411">
        <f>ROUND(('I&amp;O Calc'!$J$45/18)*'I&amp;O Calc'!$L$44*'I&amp;O Calc'!M5,2)-30.63</f>
        <v>3639445.91</v>
      </c>
      <c r="F226" s="397">
        <f>ROUND(('I&amp;O Calc'!$J$80/18)*'I&amp;O Calc'!L80*'I&amp;O Calc'!M5,2)+24.69</f>
        <v>2278119.23</v>
      </c>
      <c r="G226" s="399"/>
      <c r="H226" s="399"/>
      <c r="I226" s="397">
        <f>ROUND(('I&amp;O Calc'!$J$116/18)*'I&amp;O Calc'!L116*'I&amp;O Calc'!M5,2)</f>
        <v>0</v>
      </c>
      <c r="J226" s="399"/>
      <c r="K226" s="410">
        <f>ROUND(('I&amp;O Calc'!$J$179/18)*'I&amp;O Calc'!L176*'I&amp;O Calc'!M5,2)+'I&amp;O Calc'!J183</f>
        <v>1252495.77</v>
      </c>
      <c r="L226" s="397">
        <f>ROUND(('I&amp;O Calc'!$J$212/18)*'I&amp;O Calc'!L212*'I&amp;O Calc'!M5,2)+'I&amp;O Calc'!J215</f>
        <v>0</v>
      </c>
      <c r="M226" s="398"/>
      <c r="N226" s="398"/>
      <c r="O226" s="398"/>
      <c r="P226" s="397">
        <f t="shared" si="60"/>
        <v>8192611.6400000006</v>
      </c>
      <c r="Q226" s="358">
        <f t="shared" si="61"/>
        <v>6</v>
      </c>
    </row>
    <row r="227" spans="1:18" ht="15" hidden="1" x14ac:dyDescent="0.2">
      <c r="A227" s="382"/>
      <c r="B227" s="382"/>
      <c r="C227" s="405"/>
      <c r="D227" s="405">
        <f>SUM(D224:D226)</f>
        <v>13538907.040000001</v>
      </c>
      <c r="E227" s="405">
        <f>SUM(E224:E226)</f>
        <v>18047557.469999999</v>
      </c>
      <c r="F227" s="405">
        <f>SUM(F224:F226)</f>
        <v>10025039.76</v>
      </c>
      <c r="G227" s="405"/>
      <c r="H227" s="405"/>
      <c r="I227" s="405">
        <f>SUM(I224:I226)</f>
        <v>6234295.7600000007</v>
      </c>
      <c r="J227" s="405"/>
      <c r="K227" s="405">
        <f>SUM(K224:K226)</f>
        <v>23935701.999999996</v>
      </c>
      <c r="L227" s="405">
        <f>SUM(L224:L226)</f>
        <v>4076773.63</v>
      </c>
      <c r="M227" s="405">
        <f t="shared" ref="M227:O227" si="62">SUM(M224:M226)</f>
        <v>0</v>
      </c>
      <c r="N227" s="405">
        <f t="shared" si="62"/>
        <v>0</v>
      </c>
      <c r="O227" s="405">
        <f t="shared" si="62"/>
        <v>0</v>
      </c>
      <c r="P227" s="405">
        <f>SUM(P224:P226)</f>
        <v>75858275.659999996</v>
      </c>
      <c r="Q227" s="383"/>
    </row>
    <row r="228" spans="1:18" ht="15" hidden="1" x14ac:dyDescent="0.2">
      <c r="A228" s="382"/>
      <c r="B228" s="384"/>
      <c r="C228" s="384"/>
      <c r="D228" s="378" t="str">
        <f t="shared" ref="D228:P228" si="63">IF(D227&lt;&gt;D181,"Error","")</f>
        <v>Error</v>
      </c>
      <c r="E228" s="378" t="str">
        <f t="shared" si="63"/>
        <v>Error</v>
      </c>
      <c r="F228" s="378" t="str">
        <f t="shared" si="63"/>
        <v>Error</v>
      </c>
      <c r="G228" s="374" t="str">
        <f t="shared" si="63"/>
        <v/>
      </c>
      <c r="H228" s="374" t="str">
        <f t="shared" si="63"/>
        <v/>
      </c>
      <c r="I228" s="378" t="str">
        <f t="shared" si="63"/>
        <v>Error</v>
      </c>
      <c r="J228" s="374" t="str">
        <f t="shared" si="63"/>
        <v/>
      </c>
      <c r="K228" s="378" t="str">
        <f t="shared" si="63"/>
        <v>Error</v>
      </c>
      <c r="L228" s="378" t="str">
        <f t="shared" si="63"/>
        <v>Error</v>
      </c>
      <c r="M228" s="378" t="str">
        <f t="shared" si="63"/>
        <v/>
      </c>
      <c r="N228" s="378" t="str">
        <f t="shared" si="63"/>
        <v/>
      </c>
      <c r="O228" s="378" t="str">
        <f t="shared" si="63"/>
        <v/>
      </c>
      <c r="P228" s="378" t="str">
        <f t="shared" si="63"/>
        <v>Error</v>
      </c>
    </row>
    <row r="229" spans="1:18" ht="15" hidden="1" x14ac:dyDescent="0.2">
      <c r="D229" s="412">
        <f>D227-D181</f>
        <v>18.040000000968575</v>
      </c>
      <c r="E229" s="412">
        <f t="shared" ref="E229:F229" si="64">E227-E181</f>
        <v>11.469999998807907</v>
      </c>
      <c r="F229" s="412">
        <f t="shared" si="64"/>
        <v>-94326.240000000224</v>
      </c>
      <c r="G229" s="412"/>
      <c r="I229" s="412">
        <f>I227-I181</f>
        <v>-18.239999999292195</v>
      </c>
      <c r="J229" s="413"/>
      <c r="K229" s="412">
        <f t="shared" ref="K229:P229" si="65">K227-K181</f>
        <v>11.99999999627471</v>
      </c>
      <c r="L229" s="412">
        <f t="shared" si="65"/>
        <v>-36.370000000111759</v>
      </c>
      <c r="M229" s="412">
        <f t="shared" si="65"/>
        <v>0</v>
      </c>
      <c r="N229" s="412">
        <f t="shared" si="65"/>
        <v>0</v>
      </c>
      <c r="O229" s="412">
        <f t="shared" si="65"/>
        <v>0</v>
      </c>
      <c r="P229" s="412">
        <f t="shared" si="65"/>
        <v>-94339.340000003576</v>
      </c>
      <c r="Q229" s="325"/>
      <c r="R229" s="325"/>
    </row>
    <row r="230" spans="1:18" ht="15" hidden="1" x14ac:dyDescent="0.2">
      <c r="A230" s="393" t="s">
        <v>140</v>
      </c>
      <c r="B230" s="379"/>
      <c r="C230" s="379"/>
      <c r="D230" s="379"/>
      <c r="E230" s="379"/>
      <c r="F230" s="379"/>
      <c r="G230" s="325"/>
    </row>
    <row r="231" spans="1:18" ht="15.75" hidden="1" x14ac:dyDescent="0.25">
      <c r="A231" s="380" t="s">
        <v>135</v>
      </c>
      <c r="B231" s="381"/>
      <c r="C231" s="399"/>
      <c r="D231" s="397">
        <f>D224*2</f>
        <v>16649081.380000001</v>
      </c>
      <c r="E231" s="397">
        <f t="shared" ref="E231:F233" si="66">E224*2</f>
        <v>18194341.18</v>
      </c>
      <c r="F231" s="397">
        <f t="shared" si="66"/>
        <v>14134283.98</v>
      </c>
      <c r="G231" s="399"/>
      <c r="H231" s="399"/>
      <c r="I231" s="397">
        <f>I224*2</f>
        <v>10636383.040000001</v>
      </c>
      <c r="J231" s="399"/>
      <c r="K231" s="397">
        <f t="shared" ref="K231:L233" si="67">K224*2</f>
        <v>35413359.619999997</v>
      </c>
      <c r="L231" s="397">
        <f t="shared" si="67"/>
        <v>8074163.7199999997</v>
      </c>
      <c r="M231" s="398"/>
      <c r="N231" s="398"/>
      <c r="O231" s="398"/>
      <c r="P231" s="397">
        <f t="shared" ref="P231:P233" si="68">SUM(C231:O231)</f>
        <v>103101612.92</v>
      </c>
      <c r="Q231" s="358">
        <f t="shared" ref="Q231:Q233" si="69">COUNTA(C231:N231)</f>
        <v>6</v>
      </c>
    </row>
    <row r="232" spans="1:18" ht="15.75" hidden="1" x14ac:dyDescent="0.25">
      <c r="A232" s="345" t="s">
        <v>136</v>
      </c>
      <c r="B232" s="381"/>
      <c r="C232" s="399"/>
      <c r="D232" s="397">
        <f>D225*2</f>
        <v>8383631.2400000002</v>
      </c>
      <c r="E232" s="397">
        <f t="shared" si="66"/>
        <v>10621881.939999999</v>
      </c>
      <c r="F232" s="397">
        <f t="shared" si="66"/>
        <v>1359557.08</v>
      </c>
      <c r="G232" s="399"/>
      <c r="H232" s="399"/>
      <c r="I232" s="397">
        <f>I225*2</f>
        <v>1832208.48</v>
      </c>
      <c r="J232" s="399"/>
      <c r="K232" s="397">
        <f t="shared" si="67"/>
        <v>9953052.8399999999</v>
      </c>
      <c r="L232" s="397">
        <f t="shared" si="67"/>
        <v>79383.539999999994</v>
      </c>
      <c r="M232" s="398"/>
      <c r="N232" s="398"/>
      <c r="O232" s="398"/>
      <c r="P232" s="397">
        <f t="shared" si="68"/>
        <v>32229715.119999997</v>
      </c>
      <c r="Q232" s="358">
        <f t="shared" si="69"/>
        <v>6</v>
      </c>
    </row>
    <row r="233" spans="1:18" ht="15.75" hidden="1" x14ac:dyDescent="0.25">
      <c r="A233" s="345" t="s">
        <v>137</v>
      </c>
      <c r="B233" s="381"/>
      <c r="C233" s="399"/>
      <c r="D233" s="397">
        <f>D226*2</f>
        <v>2045101.46</v>
      </c>
      <c r="E233" s="397">
        <f t="shared" si="66"/>
        <v>7278891.8200000003</v>
      </c>
      <c r="F233" s="397">
        <f t="shared" si="66"/>
        <v>4556238.46</v>
      </c>
      <c r="G233" s="399"/>
      <c r="H233" s="399"/>
      <c r="I233" s="397">
        <f>I226*2</f>
        <v>0</v>
      </c>
      <c r="J233" s="399"/>
      <c r="K233" s="397">
        <f t="shared" si="67"/>
        <v>2504991.54</v>
      </c>
      <c r="L233" s="397">
        <f t="shared" si="67"/>
        <v>0</v>
      </c>
      <c r="M233" s="398"/>
      <c r="N233" s="398"/>
      <c r="O233" s="398"/>
      <c r="P233" s="397">
        <f t="shared" si="68"/>
        <v>16385223.280000001</v>
      </c>
      <c r="Q233" s="358">
        <f t="shared" si="69"/>
        <v>6</v>
      </c>
    </row>
    <row r="234" spans="1:18" ht="15" hidden="1" x14ac:dyDescent="0.2">
      <c r="A234" s="382"/>
      <c r="B234" s="382"/>
      <c r="C234" s="405"/>
      <c r="D234" s="405">
        <f>SUM(D231:D233)</f>
        <v>27077814.080000002</v>
      </c>
      <c r="E234" s="405">
        <f>SUM(E231:E233)</f>
        <v>36095114.939999998</v>
      </c>
      <c r="F234" s="405">
        <f>SUM(F231:F233)</f>
        <v>20050079.52</v>
      </c>
      <c r="G234" s="405"/>
      <c r="H234" s="405"/>
      <c r="I234" s="405">
        <f>SUM(I231:I233)</f>
        <v>12468591.520000001</v>
      </c>
      <c r="J234" s="405"/>
      <c r="K234" s="405">
        <f>SUM(K231:K233)</f>
        <v>47871403.999999993</v>
      </c>
      <c r="L234" s="405">
        <f>SUM(L231:L233)</f>
        <v>8153547.2599999998</v>
      </c>
      <c r="M234" s="405">
        <f t="shared" ref="M234:O234" si="70">SUM(M231:M233)</f>
        <v>0</v>
      </c>
      <c r="N234" s="405">
        <f t="shared" si="70"/>
        <v>0</v>
      </c>
      <c r="O234" s="405">
        <f t="shared" si="70"/>
        <v>0</v>
      </c>
      <c r="P234" s="405">
        <f>SUM(P231:P233)</f>
        <v>151716551.31999999</v>
      </c>
      <c r="Q234" s="383"/>
    </row>
    <row r="235" spans="1:18" ht="15" hidden="1" x14ac:dyDescent="0.2">
      <c r="A235" s="382"/>
      <c r="B235" s="384"/>
      <c r="C235" s="334"/>
      <c r="D235" s="378" t="str">
        <f t="shared" ref="D235:P235" si="71">IF(D234&lt;&gt;D193,"Error","")</f>
        <v>Error</v>
      </c>
      <c r="E235" s="378" t="str">
        <f t="shared" si="71"/>
        <v>Error</v>
      </c>
      <c r="F235" s="378" t="str">
        <f t="shared" si="71"/>
        <v>Error</v>
      </c>
      <c r="G235" s="374" t="str">
        <f t="shared" si="71"/>
        <v/>
      </c>
      <c r="H235" s="374" t="str">
        <f t="shared" si="71"/>
        <v/>
      </c>
      <c r="I235" s="378" t="str">
        <f t="shared" si="71"/>
        <v>Error</v>
      </c>
      <c r="J235" s="374" t="str">
        <f t="shared" si="71"/>
        <v/>
      </c>
      <c r="K235" s="378" t="str">
        <f t="shared" si="71"/>
        <v>Error</v>
      </c>
      <c r="L235" s="378" t="str">
        <f t="shared" si="71"/>
        <v>Error</v>
      </c>
      <c r="M235" s="378" t="str">
        <f t="shared" si="71"/>
        <v/>
      </c>
      <c r="N235" s="378" t="str">
        <f t="shared" si="71"/>
        <v/>
      </c>
      <c r="O235" s="378" t="str">
        <f t="shared" si="71"/>
        <v/>
      </c>
      <c r="P235" s="378" t="str">
        <f t="shared" si="71"/>
        <v>Error</v>
      </c>
    </row>
    <row r="236" spans="1:18" ht="15" hidden="1" x14ac:dyDescent="0.2">
      <c r="C236" s="408"/>
      <c r="D236" s="408">
        <f>D234-D193</f>
        <v>36.080000001937151</v>
      </c>
      <c r="E236" s="408">
        <f t="shared" ref="E236:F236" si="72">E234-E193</f>
        <v>22.939999997615814</v>
      </c>
      <c r="F236" s="408">
        <f t="shared" si="72"/>
        <v>-188652.48000000045</v>
      </c>
      <c r="G236" s="408"/>
      <c r="H236" s="408"/>
      <c r="I236" s="408">
        <f>I234-I193</f>
        <v>-36.47999999858439</v>
      </c>
      <c r="J236" s="414"/>
      <c r="K236" s="408">
        <f t="shared" ref="K236:P236" si="73">K234-K193</f>
        <v>23.999999992549419</v>
      </c>
      <c r="L236" s="408">
        <f t="shared" si="73"/>
        <v>-72.740000000223517</v>
      </c>
      <c r="M236" s="408">
        <f t="shared" si="73"/>
        <v>0</v>
      </c>
      <c r="N236" s="408">
        <f t="shared" si="73"/>
        <v>0</v>
      </c>
      <c r="O236" s="408">
        <f t="shared" si="73"/>
        <v>0</v>
      </c>
      <c r="P236" s="408">
        <f t="shared" si="73"/>
        <v>-188678.68000000715</v>
      </c>
      <c r="Q236" s="325"/>
      <c r="R236" s="413"/>
    </row>
    <row r="237" spans="1:18" s="391" customFormat="1" hidden="1" x14ac:dyDescent="0.2"/>
    <row r="238" spans="1:18" ht="15" hidden="1" x14ac:dyDescent="0.2">
      <c r="J238" s="387"/>
      <c r="K238" s="325"/>
      <c r="L238" s="325"/>
      <c r="M238" s="325"/>
      <c r="N238" s="325"/>
      <c r="O238" s="325"/>
      <c r="P238" s="325"/>
      <c r="Q238" s="325"/>
      <c r="R238" s="415"/>
    </row>
    <row r="239" spans="1:18" ht="15" hidden="1" x14ac:dyDescent="0.2">
      <c r="J239" s="387"/>
      <c r="K239" s="325"/>
      <c r="L239" s="325"/>
      <c r="M239" s="325"/>
      <c r="N239" s="325"/>
      <c r="O239" s="325"/>
      <c r="P239" s="325"/>
      <c r="Q239" s="325"/>
      <c r="R239" s="415"/>
    </row>
    <row r="240" spans="1:18" ht="15" hidden="1" x14ac:dyDescent="0.2">
      <c r="J240" s="387"/>
      <c r="K240" s="325"/>
      <c r="L240" s="325"/>
      <c r="M240" s="325"/>
      <c r="N240" s="325"/>
      <c r="O240" s="325"/>
      <c r="P240" s="325"/>
      <c r="Q240" s="325"/>
      <c r="R240" s="415"/>
    </row>
    <row r="241" spans="10:18" hidden="1" x14ac:dyDescent="0.2">
      <c r="J241" s="325"/>
      <c r="K241" s="325"/>
      <c r="L241" s="325"/>
      <c r="M241" s="325"/>
      <c r="N241" s="325"/>
      <c r="O241" s="325"/>
      <c r="P241" s="325"/>
      <c r="Q241" s="325"/>
      <c r="R241" s="325"/>
    </row>
    <row r="242" spans="10:18" x14ac:dyDescent="0.2">
      <c r="J242" s="325"/>
      <c r="K242" s="325"/>
      <c r="L242" s="325"/>
      <c r="M242" s="325"/>
      <c r="N242" s="325"/>
      <c r="O242" s="325"/>
      <c r="P242" s="325"/>
      <c r="Q242" s="325"/>
      <c r="R242" s="325"/>
    </row>
    <row r="243" spans="10:18" x14ac:dyDescent="0.2">
      <c r="J243" s="325"/>
      <c r="K243" s="325"/>
      <c r="L243" s="325"/>
      <c r="M243" s="325"/>
      <c r="N243" s="325"/>
      <c r="O243" s="325"/>
      <c r="P243" s="325"/>
      <c r="Q243" s="325"/>
      <c r="R243" s="325"/>
    </row>
  </sheetData>
  <mergeCells count="1">
    <mergeCell ref="L8:P8"/>
  </mergeCells>
  <pageMargins left="0.2" right="0.2" top="0.5" bottom="0.5" header="0.3" footer="0.3"/>
  <pageSetup scale="70" orientation="landscape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309A4-2C2B-43DA-95AE-D96BC69CD9A5}">
  <sheetPr>
    <tabColor indexed="47"/>
    <pageSetUpPr fitToPage="1"/>
  </sheetPr>
  <dimension ref="A1:T403"/>
  <sheetViews>
    <sheetView showGridLines="0" zoomScale="75" zoomScaleNormal="75" workbookViewId="0">
      <pane xSplit="3" ySplit="6" topLeftCell="D224" activePane="bottomRight" state="frozen"/>
      <selection activeCell="G3" sqref="G3"/>
      <selection pane="topRight" activeCell="G3" sqref="G3"/>
      <selection pane="bottomLeft" activeCell="G3" sqref="G3"/>
      <selection pane="bottomRight" activeCell="G3" sqref="G3"/>
    </sheetView>
  </sheetViews>
  <sheetFormatPr defaultRowHeight="13.5" customHeight="1" outlineLevelRow="1" x14ac:dyDescent="0.25"/>
  <cols>
    <col min="1" max="1" width="48.7109375" style="417" customWidth="1"/>
    <col min="2" max="2" width="8.42578125" style="417" customWidth="1"/>
    <col min="3" max="3" width="10" style="417" customWidth="1"/>
    <col min="4" max="4" width="12.7109375" style="417" customWidth="1"/>
    <col min="5" max="5" width="14.28515625" style="417" customWidth="1"/>
    <col min="6" max="6" width="15" style="417" customWidth="1"/>
    <col min="7" max="7" width="14.7109375" style="417" customWidth="1"/>
    <col min="8" max="8" width="10.140625" style="417" customWidth="1"/>
    <col min="9" max="9" width="10" style="417" customWidth="1"/>
    <col min="10" max="10" width="13.7109375" style="417" customWidth="1"/>
    <col min="11" max="11" width="15" style="437" customWidth="1"/>
    <col min="12" max="12" width="9.7109375" style="442" customWidth="1"/>
    <col min="13" max="13" width="24.5703125" style="417" customWidth="1"/>
    <col min="14" max="14" width="3.7109375" style="431" customWidth="1"/>
    <col min="15" max="15" width="19.7109375" style="417" customWidth="1"/>
    <col min="16" max="16" width="2.85546875" style="423" customWidth="1"/>
    <col min="17" max="17" width="24.5703125" style="417" customWidth="1"/>
    <col min="18" max="18" width="22" style="417" customWidth="1"/>
    <col min="19" max="19" width="24.140625" style="417" customWidth="1"/>
    <col min="20" max="20" width="3.140625" style="425" customWidth="1"/>
    <col min="21" max="16384" width="9.140625" style="417"/>
  </cols>
  <sheetData>
    <row r="1" spans="1:19" ht="26.25" customHeight="1" x14ac:dyDescent="0.35">
      <c r="A1" s="416" t="s">
        <v>141</v>
      </c>
      <c r="K1" s="418" t="s">
        <v>87</v>
      </c>
      <c r="L1" s="419"/>
      <c r="M1" s="420"/>
      <c r="N1" s="421"/>
      <c r="O1" s="422"/>
      <c r="Q1" s="424">
        <v>44372</v>
      </c>
    </row>
    <row r="2" spans="1:19" ht="23.25" x14ac:dyDescent="0.35">
      <c r="A2" s="426" t="s">
        <v>142</v>
      </c>
      <c r="E2" s="427"/>
      <c r="F2" s="428"/>
      <c r="G2" s="428"/>
      <c r="J2" s="429"/>
      <c r="K2" s="430"/>
      <c r="L2" s="431"/>
      <c r="M2" s="432"/>
      <c r="N2" s="428"/>
      <c r="O2" s="428"/>
      <c r="P2" s="428"/>
      <c r="Q2" s="433"/>
      <c r="R2" s="1036"/>
      <c r="S2" s="1037"/>
    </row>
    <row r="3" spans="1:19" ht="36" customHeight="1" thickBot="1" x14ac:dyDescent="0.4">
      <c r="A3" s="434" t="s">
        <v>143</v>
      </c>
      <c r="D3" s="435" t="s">
        <v>144</v>
      </c>
      <c r="E3" s="1038" t="s">
        <v>145</v>
      </c>
      <c r="F3" s="1039"/>
      <c r="G3" s="436" t="s">
        <v>146</v>
      </c>
      <c r="H3" s="428"/>
      <c r="J3" s="436" t="s">
        <v>146</v>
      </c>
      <c r="L3" s="428"/>
      <c r="M3" s="438"/>
      <c r="N3" s="428"/>
      <c r="O3" s="428"/>
      <c r="P3" s="428"/>
      <c r="Q3" s="439"/>
      <c r="R3" s="428"/>
      <c r="S3" s="428"/>
    </row>
    <row r="4" spans="1:19" ht="18" customHeight="1" x14ac:dyDescent="0.35">
      <c r="A4" s="434" t="s">
        <v>147</v>
      </c>
      <c r="D4" s="440" t="s">
        <v>148</v>
      </c>
      <c r="E4" s="441" t="s">
        <v>149</v>
      </c>
      <c r="F4" s="441" t="s">
        <v>149</v>
      </c>
      <c r="G4" s="440" t="s">
        <v>148</v>
      </c>
      <c r="H4" s="427"/>
      <c r="I4" s="441"/>
      <c r="J4" s="440" t="s">
        <v>148</v>
      </c>
      <c r="M4" s="443" t="s">
        <v>150</v>
      </c>
      <c r="O4" s="444" t="s">
        <v>151</v>
      </c>
      <c r="R4" s="445"/>
      <c r="S4" s="446"/>
    </row>
    <row r="5" spans="1:19" ht="16.5" customHeight="1" thickBot="1" x14ac:dyDescent="0.35">
      <c r="A5" s="441" t="s">
        <v>152</v>
      </c>
      <c r="D5" s="447">
        <v>30</v>
      </c>
      <c r="G5" s="447">
        <v>24</v>
      </c>
      <c r="H5" s="448"/>
      <c r="I5" s="449"/>
      <c r="J5" s="450">
        <v>18</v>
      </c>
      <c r="M5" s="451">
        <v>9621.6635067952921</v>
      </c>
      <c r="O5" s="452" t="s">
        <v>153</v>
      </c>
      <c r="R5" s="1040" t="s">
        <v>154</v>
      </c>
      <c r="S5" s="1041"/>
    </row>
    <row r="6" spans="1:19" ht="69.75" customHeight="1" thickBot="1" x14ac:dyDescent="0.25">
      <c r="A6" s="453"/>
      <c r="B6" s="454" t="s">
        <v>155</v>
      </c>
      <c r="C6" s="454" t="s">
        <v>156</v>
      </c>
      <c r="D6" s="455" t="s">
        <v>94</v>
      </c>
      <c r="E6" s="456" t="s">
        <v>95</v>
      </c>
      <c r="F6" s="456" t="s">
        <v>96</v>
      </c>
      <c r="G6" s="455" t="s">
        <v>97</v>
      </c>
      <c r="H6" s="457" t="s">
        <v>157</v>
      </c>
      <c r="I6" s="458" t="s">
        <v>158</v>
      </c>
      <c r="J6" s="459" t="s">
        <v>98</v>
      </c>
      <c r="K6" s="460" t="s">
        <v>99</v>
      </c>
      <c r="L6" s="461" t="s">
        <v>159</v>
      </c>
      <c r="M6" s="462" t="s">
        <v>160</v>
      </c>
      <c r="N6" s="463"/>
      <c r="O6" s="464" t="s">
        <v>161</v>
      </c>
      <c r="P6" s="465"/>
      <c r="Q6" s="465" t="s">
        <v>162</v>
      </c>
      <c r="R6" s="466" t="s">
        <v>163</v>
      </c>
      <c r="S6" s="467" t="s">
        <v>164</v>
      </c>
    </row>
    <row r="7" spans="1:19" ht="18" customHeight="1" x14ac:dyDescent="0.25"/>
    <row r="8" spans="1:19" ht="18" customHeight="1" x14ac:dyDescent="0.25">
      <c r="A8" s="468" t="s">
        <v>165</v>
      </c>
      <c r="B8" s="469"/>
      <c r="C8" s="469"/>
      <c r="D8" s="469"/>
      <c r="E8" s="469"/>
      <c r="F8" s="469"/>
      <c r="G8" s="469"/>
      <c r="H8" s="469"/>
    </row>
    <row r="9" spans="1:19" ht="18" customHeight="1" x14ac:dyDescent="0.25">
      <c r="A9" s="470" t="s">
        <v>107</v>
      </c>
      <c r="B9" s="417" t="s">
        <v>166</v>
      </c>
      <c r="C9" s="417" t="s">
        <v>167</v>
      </c>
      <c r="D9" s="471"/>
      <c r="E9" s="472">
        <f>'Link Data'!I8</f>
        <v>892</v>
      </c>
      <c r="F9" s="471"/>
      <c r="G9" s="471"/>
      <c r="H9" s="471"/>
      <c r="I9" s="471"/>
      <c r="J9" s="472">
        <f>H9-I9</f>
        <v>0</v>
      </c>
      <c r="K9" s="473">
        <f>ROUND(E9+F9+(D9/D$5)+(G9/G$5)+(J9/J$5),2)</f>
        <v>892</v>
      </c>
      <c r="L9" s="474">
        <f>VLOOKUP($B9,weights,2,FALSE)</f>
        <v>4.7530000000000001</v>
      </c>
      <c r="M9" s="475">
        <f>ROUND(K9*L9*$M$5,2)</f>
        <v>40792735.850000001</v>
      </c>
      <c r="N9" s="432" t="s">
        <v>168</v>
      </c>
      <c r="O9" s="476">
        <f>ROUND(IF(K9&lt;ClassSize,(1-(K9/200))*(VLOOKUP($B9,weights,3,FALSE))*K9,0),0)</f>
        <v>0</v>
      </c>
      <c r="P9" s="436" t="s">
        <v>169</v>
      </c>
      <c r="Q9" s="475">
        <f>O9+M9</f>
        <v>40792735.850000001</v>
      </c>
      <c r="R9" s="477">
        <f t="shared" ref="R9:S11" si="0">ROUND($Q9,0)</f>
        <v>40792736</v>
      </c>
      <c r="S9" s="477">
        <f t="shared" si="0"/>
        <v>40792736</v>
      </c>
    </row>
    <row r="10" spans="1:19" ht="18" customHeight="1" x14ac:dyDescent="0.25">
      <c r="A10" s="470" t="s">
        <v>101</v>
      </c>
      <c r="B10" s="417" t="s">
        <v>170</v>
      </c>
      <c r="C10" s="417" t="s">
        <v>171</v>
      </c>
      <c r="D10" s="471"/>
      <c r="E10" s="471"/>
      <c r="F10" s="471"/>
      <c r="G10" s="472">
        <f>'Link Data'!G9+'Link Data'!G10</f>
        <v>4444</v>
      </c>
      <c r="H10" s="472">
        <f>'Link Data'!H9+'Link Data'!H10</f>
        <v>12061</v>
      </c>
      <c r="I10" s="472">
        <f>'Link Data'!K9+'Link Data'!K10</f>
        <v>906</v>
      </c>
      <c r="J10" s="472">
        <f>H10-I10</f>
        <v>11155</v>
      </c>
      <c r="K10" s="473">
        <f>ROUND(E10+F10+(D10/D$5)+(G10/G$5)+(J10/J$5),2)</f>
        <v>804.89</v>
      </c>
      <c r="L10" s="474">
        <f>VLOOKUP($B10,weights,2,FALSE)</f>
        <v>1.018</v>
      </c>
      <c r="M10" s="478">
        <f>ROUND(K10*L10*$M$5,2)</f>
        <v>7883779.5899999999</v>
      </c>
      <c r="N10" s="432" t="s">
        <v>168</v>
      </c>
      <c r="O10" s="479">
        <f>ROUND(IF(K10&lt;ClassSize,(1-(K10/200))*(VLOOKUP($B10,weights,3,FALSE))*K10,0),0)</f>
        <v>0</v>
      </c>
      <c r="P10" s="436" t="s">
        <v>169</v>
      </c>
      <c r="Q10" s="478">
        <f>O10+M10</f>
        <v>7883779.5899999999</v>
      </c>
      <c r="R10" s="480">
        <f t="shared" si="0"/>
        <v>7883780</v>
      </c>
      <c r="S10" s="480">
        <f t="shared" si="0"/>
        <v>7883780</v>
      </c>
    </row>
    <row r="11" spans="1:19" ht="18" customHeight="1" thickBot="1" x14ac:dyDescent="0.3">
      <c r="A11" s="481" t="s">
        <v>100</v>
      </c>
      <c r="B11" s="417" t="s">
        <v>172</v>
      </c>
      <c r="C11" s="417" t="s">
        <v>173</v>
      </c>
      <c r="D11" s="472">
        <f>'Link Data'!F11</f>
        <v>0</v>
      </c>
      <c r="E11" s="471"/>
      <c r="F11" s="471"/>
      <c r="G11" s="472">
        <f>'Link Data'!G11</f>
        <v>12652</v>
      </c>
      <c r="H11" s="472">
        <f>'Link Data'!H11</f>
        <v>169</v>
      </c>
      <c r="I11" s="472">
        <f>'Link Data'!I11</f>
        <v>0</v>
      </c>
      <c r="J11" s="472">
        <f>H11-I11</f>
        <v>169</v>
      </c>
      <c r="K11" s="482">
        <f>ROUND(E11+F11+(D11/D$5)+(G11/G$5)+(J11/J$5),2)</f>
        <v>536.55999999999995</v>
      </c>
      <c r="L11" s="474">
        <f>VLOOKUP($B11,weights,2,FALSE)</f>
        <v>1</v>
      </c>
      <c r="M11" s="478">
        <f>ROUND(K11*L11*$M$5,2)</f>
        <v>5162599.7699999996</v>
      </c>
      <c r="N11" s="432" t="s">
        <v>168</v>
      </c>
      <c r="O11" s="479">
        <f>ROUND(IF(K11&lt;ClassSize,(1-(K11/200))*(VLOOKUP($B11,weights,3,FALSE))*K11,0),0)</f>
        <v>0</v>
      </c>
      <c r="P11" s="436" t="s">
        <v>169</v>
      </c>
      <c r="Q11" s="478">
        <f>O11+M11</f>
        <v>5162599.7699999996</v>
      </c>
      <c r="R11" s="480">
        <f t="shared" si="0"/>
        <v>5162600</v>
      </c>
      <c r="S11" s="480">
        <f t="shared" si="0"/>
        <v>5162600</v>
      </c>
    </row>
    <row r="12" spans="1:19" ht="18" customHeight="1" thickBot="1" x14ac:dyDescent="0.3">
      <c r="A12" s="483" t="s">
        <v>174</v>
      </c>
      <c r="B12" s="417" t="s">
        <v>175</v>
      </c>
      <c r="C12" s="417" t="s">
        <v>176</v>
      </c>
      <c r="D12" s="472">
        <f t="shared" ref="D12:I12" si="1">SUM(D9:D11)</f>
        <v>0</v>
      </c>
      <c r="E12" s="472">
        <f t="shared" si="1"/>
        <v>892</v>
      </c>
      <c r="F12" s="472">
        <f t="shared" si="1"/>
        <v>0</v>
      </c>
      <c r="G12" s="472">
        <f t="shared" si="1"/>
        <v>17096</v>
      </c>
      <c r="H12" s="472">
        <f t="shared" si="1"/>
        <v>12230</v>
      </c>
      <c r="I12" s="472">
        <f t="shared" si="1"/>
        <v>906</v>
      </c>
      <c r="J12" s="472">
        <f t="shared" ref="J12:K12" si="2">SUM(J9:J11)</f>
        <v>11324</v>
      </c>
      <c r="K12" s="484">
        <f t="shared" si="2"/>
        <v>2233.4499999999998</v>
      </c>
      <c r="L12" s="485"/>
      <c r="M12" s="486">
        <f>SUM(M9:M11)</f>
        <v>53839115.209999993</v>
      </c>
      <c r="N12" s="432"/>
      <c r="O12" s="487">
        <f>SUM(O9:O11)</f>
        <v>0</v>
      </c>
      <c r="P12" s="436"/>
      <c r="Q12" s="488">
        <f>SUM(Q9:Q11)</f>
        <v>53839115.209999993</v>
      </c>
      <c r="R12" s="489">
        <f>SUM(R9:R11)</f>
        <v>53839116</v>
      </c>
      <c r="S12" s="489">
        <f>SUM(S9:S11)</f>
        <v>53839116</v>
      </c>
    </row>
    <row r="13" spans="1:19" ht="18" customHeight="1" x14ac:dyDescent="0.25">
      <c r="D13" s="490"/>
      <c r="E13" s="490"/>
      <c r="F13" s="490"/>
      <c r="G13" s="490"/>
      <c r="H13" s="490"/>
      <c r="I13" s="490"/>
      <c r="J13" s="490"/>
      <c r="K13" s="437" t="str">
        <f>IF(K12='Link Data'!M13,"","Error")</f>
        <v/>
      </c>
      <c r="M13" s="491"/>
    </row>
    <row r="14" spans="1:19" ht="18" customHeight="1" x14ac:dyDescent="0.25">
      <c r="D14" s="492"/>
      <c r="E14" s="490"/>
      <c r="F14" s="490"/>
      <c r="G14" s="492"/>
      <c r="H14" s="492"/>
      <c r="J14" s="492"/>
      <c r="K14" s="493"/>
      <c r="M14" s="491"/>
    </row>
    <row r="15" spans="1:19" ht="18" customHeight="1" x14ac:dyDescent="0.25">
      <c r="A15" s="468" t="s">
        <v>177</v>
      </c>
      <c r="B15" s="469"/>
      <c r="C15" s="469"/>
      <c r="D15" s="494"/>
      <c r="E15" s="494"/>
      <c r="F15" s="494"/>
      <c r="G15" s="494"/>
      <c r="H15" s="490"/>
      <c r="I15" s="490"/>
      <c r="J15" s="490"/>
      <c r="M15" s="491"/>
      <c r="R15" s="495"/>
    </row>
    <row r="16" spans="1:19" ht="18" customHeight="1" x14ac:dyDescent="0.2">
      <c r="A16" s="470" t="s">
        <v>178</v>
      </c>
      <c r="B16" s="417" t="s">
        <v>166</v>
      </c>
      <c r="D16" s="471"/>
      <c r="E16" s="496">
        <f>'Link Data'!I17+'Link Data'!I18+'Link Data'!I19</f>
        <v>955</v>
      </c>
      <c r="F16" s="471"/>
      <c r="G16" s="471"/>
      <c r="H16" s="471"/>
      <c r="I16" s="471"/>
      <c r="J16" s="472">
        <f>H16-I16</f>
        <v>0</v>
      </c>
      <c r="K16" s="473">
        <f>ROUND(E16+F16+(D16/D$5)+(G16/G$5)+(J16/J$5),2)</f>
        <v>955</v>
      </c>
      <c r="L16" s="474">
        <f>VLOOKUP($B16,weights,2,FALSE)</f>
        <v>4.7530000000000001</v>
      </c>
      <c r="M16" s="497">
        <f>ROUND(K16*L16*$M$5,2)</f>
        <v>43673837.149999999</v>
      </c>
      <c r="N16" s="476" t="s">
        <v>168</v>
      </c>
      <c r="O16" s="498">
        <f>ROUND(IF(K16&lt;ClassSize,(1-(K16/200))*(VLOOKUP($B16,weights,3,FALSE))*K16,0),0)</f>
        <v>0</v>
      </c>
      <c r="P16" s="436" t="s">
        <v>169</v>
      </c>
      <c r="Q16" s="497">
        <f>O16+M16</f>
        <v>43673837.149999999</v>
      </c>
      <c r="R16" s="491"/>
      <c r="S16" s="495"/>
    </row>
    <row r="17" spans="1:19" ht="18" customHeight="1" x14ac:dyDescent="0.2">
      <c r="A17" s="470" t="s">
        <v>179</v>
      </c>
      <c r="B17" s="417" t="s">
        <v>166</v>
      </c>
      <c r="D17" s="471"/>
      <c r="E17" s="496">
        <f>'Link Data'!I20</f>
        <v>0</v>
      </c>
      <c r="F17" s="471"/>
      <c r="G17" s="471"/>
      <c r="H17" s="471"/>
      <c r="I17" s="471"/>
      <c r="J17" s="472">
        <f>H17-I17</f>
        <v>0</v>
      </c>
      <c r="K17" s="473">
        <f>ROUND(E17+F17+(D17/D$5)+(G17/G$5)+(J17/J$5),2)</f>
        <v>0</v>
      </c>
      <c r="L17" s="474">
        <f>VLOOKUP($B17,weights,2,FALSE)</f>
        <v>4.7530000000000001</v>
      </c>
      <c r="M17" s="499">
        <f>ROUND(K17*L17*$M$5,2)</f>
        <v>0</v>
      </c>
      <c r="N17" s="476" t="s">
        <v>168</v>
      </c>
      <c r="O17" s="498">
        <f>ROUND(IF(K17&lt;ClassSize,(1-(K17/200))*(VLOOKUP($B17,weights,3,FALSE))*K17,0),0)</f>
        <v>0</v>
      </c>
      <c r="P17" s="436"/>
      <c r="Q17" s="499">
        <f>O17+M17</f>
        <v>0</v>
      </c>
      <c r="R17" s="500"/>
      <c r="S17" s="500"/>
    </row>
    <row r="18" spans="1:19" ht="18" customHeight="1" x14ac:dyDescent="0.25">
      <c r="A18" s="501" t="s">
        <v>180</v>
      </c>
      <c r="B18" s="502"/>
      <c r="C18" s="502" t="s">
        <v>167</v>
      </c>
      <c r="D18" s="503"/>
      <c r="E18" s="503">
        <f>SUM(E16:E17)</f>
        <v>955</v>
      </c>
      <c r="F18" s="503"/>
      <c r="G18" s="503"/>
      <c r="H18" s="503"/>
      <c r="I18" s="503"/>
      <c r="J18" s="503">
        <f>SUM(J16:J17)</f>
        <v>0</v>
      </c>
      <c r="K18" s="504">
        <f>SUM(K16:K17)</f>
        <v>955</v>
      </c>
      <c r="L18" s="505"/>
      <c r="M18" s="506">
        <f>SUM(M16:M17)</f>
        <v>43673837.149999999</v>
      </c>
      <c r="N18" s="507"/>
      <c r="O18" s="508">
        <f>SUM(O16:O17)</f>
        <v>0</v>
      </c>
      <c r="P18" s="509"/>
      <c r="Q18" s="506">
        <f>SUM(Q16:Q17)</f>
        <v>43673837.149999999</v>
      </c>
      <c r="R18" s="477">
        <f>ROUND($Q18,0)</f>
        <v>43673837</v>
      </c>
      <c r="S18" s="477">
        <f>ROUND($Q18,0)</f>
        <v>43673837</v>
      </c>
    </row>
    <row r="19" spans="1:19" ht="18" customHeight="1" x14ac:dyDescent="0.25">
      <c r="A19" s="510"/>
      <c r="D19" s="503"/>
      <c r="E19" s="503"/>
      <c r="F19" s="503"/>
      <c r="G19" s="503"/>
      <c r="H19" s="503"/>
      <c r="I19" s="503"/>
      <c r="J19" s="503"/>
      <c r="K19" s="504"/>
      <c r="L19" s="505"/>
      <c r="M19" s="508"/>
      <c r="N19" s="511"/>
      <c r="O19" s="511"/>
      <c r="P19" s="509"/>
      <c r="Q19" s="506"/>
      <c r="R19" s="512"/>
      <c r="S19" s="512"/>
    </row>
    <row r="20" spans="1:19" ht="18" customHeight="1" x14ac:dyDescent="0.25">
      <c r="A20" s="470" t="s">
        <v>101</v>
      </c>
      <c r="B20" s="417" t="s">
        <v>170</v>
      </c>
      <c r="C20" s="417" t="s">
        <v>171</v>
      </c>
      <c r="D20" s="471"/>
      <c r="E20" s="471"/>
      <c r="F20" s="471"/>
      <c r="G20" s="472">
        <f>'Link Data'!G21+'Link Data'!G22+'Link Data'!G23</f>
        <v>1562</v>
      </c>
      <c r="H20" s="472">
        <f>'Link Data'!H21+'Link Data'!H22+'Link Data'!H23</f>
        <v>3625</v>
      </c>
      <c r="I20" s="472">
        <f>'Link Data'!K21+'Link Data'!K22+'Link Data'!K23</f>
        <v>190</v>
      </c>
      <c r="J20" s="472">
        <f>H20-I20</f>
        <v>3435</v>
      </c>
      <c r="K20" s="473">
        <f>ROUND(E20+F20+(D20/D$5)+(G20/G$5)+(J20/J$5),2)</f>
        <v>255.92</v>
      </c>
      <c r="L20" s="474">
        <f>VLOOKUP($B20,weights,2,FALSE)</f>
        <v>1.018</v>
      </c>
      <c r="M20" s="478">
        <f>ROUND(K20*L20*$M$5,2)</f>
        <v>2506698.89</v>
      </c>
      <c r="N20" s="498" t="s">
        <v>168</v>
      </c>
      <c r="O20" s="495">
        <f>ROUND(IF(K20&lt;ClassSize,(1-(K20/200))*(VLOOKUP($B20,weights,3,FALSE))*K20,0),0)</f>
        <v>0</v>
      </c>
      <c r="P20" s="436" t="s">
        <v>169</v>
      </c>
      <c r="Q20" s="478">
        <f>O20+M20</f>
        <v>2506698.89</v>
      </c>
      <c r="R20" s="480">
        <f>ROUND($Q20,0)</f>
        <v>2506699</v>
      </c>
      <c r="S20" s="480">
        <f>ROUND($Q20,0)</f>
        <v>2506699</v>
      </c>
    </row>
    <row r="21" spans="1:19" ht="18" customHeight="1" x14ac:dyDescent="0.25">
      <c r="A21" s="470" t="s">
        <v>100</v>
      </c>
      <c r="B21" s="417" t="s">
        <v>172</v>
      </c>
      <c r="C21" s="417" t="s">
        <v>173</v>
      </c>
      <c r="D21" s="472">
        <f>'Link Data'!F24</f>
        <v>4082</v>
      </c>
      <c r="E21" s="471"/>
      <c r="F21" s="471"/>
      <c r="G21" s="472">
        <f>'Link Data'!G24</f>
        <v>22276</v>
      </c>
      <c r="H21" s="472">
        <f>'Link Data'!H24</f>
        <v>5433</v>
      </c>
      <c r="I21" s="472">
        <f>'Link Data'!K24</f>
        <v>0</v>
      </c>
      <c r="J21" s="472">
        <f>H21-I21</f>
        <v>5433</v>
      </c>
      <c r="K21" s="473">
        <f>ROUND(E21+F21+(D21/D$5)+(G21/G$5)+(J21/J$5),2)</f>
        <v>1366.07</v>
      </c>
      <c r="L21" s="474">
        <f>VLOOKUP($B21,weights,2,FALSE)</f>
        <v>1</v>
      </c>
      <c r="M21" s="478">
        <f>ROUND(K21*L21*$M$5,2)</f>
        <v>13143865.869999999</v>
      </c>
      <c r="N21" s="498" t="s">
        <v>168</v>
      </c>
      <c r="O21" s="479">
        <f>ROUND(IF(K21&lt;ClassSize,(1-(K21/200))*(VLOOKUP($B21,weights,3,FALSE))*K21,0),0)</f>
        <v>0</v>
      </c>
      <c r="P21" s="436" t="s">
        <v>169</v>
      </c>
      <c r="Q21" s="478">
        <f>O21+M21</f>
        <v>13143865.869999999</v>
      </c>
      <c r="R21" s="480">
        <f>ROUND($Q21,0)</f>
        <v>13143866</v>
      </c>
      <c r="S21" s="480">
        <f>ROUND($Q21,0)</f>
        <v>13143866</v>
      </c>
    </row>
    <row r="22" spans="1:19" ht="18" customHeight="1" x14ac:dyDescent="0.25">
      <c r="A22" s="513" t="s">
        <v>135</v>
      </c>
      <c r="B22" s="417" t="s">
        <v>181</v>
      </c>
      <c r="C22" s="417" t="s">
        <v>182</v>
      </c>
      <c r="D22" s="472">
        <f>'Link Data'!F25</f>
        <v>22808</v>
      </c>
      <c r="E22" s="471"/>
      <c r="F22" s="471"/>
      <c r="G22" s="471"/>
      <c r="H22" s="471"/>
      <c r="I22" s="471"/>
      <c r="J22" s="472">
        <f>H22-I22</f>
        <v>0</v>
      </c>
      <c r="K22" s="473">
        <f>ROUND(E22+F22+(D22/D$5)+(G22/G$5)+(J22/J$5),2)</f>
        <v>760.27</v>
      </c>
      <c r="L22" s="474">
        <f>VLOOKUP($B22,weights,2,FALSE)</f>
        <v>1.1379999999999999</v>
      </c>
      <c r="M22" s="478">
        <f>ROUND(K22*L22*$M$5,2)</f>
        <v>8324540.6900000004</v>
      </c>
      <c r="N22" s="498" t="s">
        <v>168</v>
      </c>
      <c r="O22" s="498">
        <f>ROUND(IF((K22+K23)&lt;ClassSize,(1-((K22+K23)/200))*(VLOOKUP($B22,weights,3,FALSE))*(K22+K23),0),0)</f>
        <v>0</v>
      </c>
      <c r="P22" s="436" t="s">
        <v>169</v>
      </c>
      <c r="Q22" s="514">
        <f>O22+M22</f>
        <v>8324540.6900000004</v>
      </c>
      <c r="R22" s="515"/>
      <c r="S22" s="516"/>
    </row>
    <row r="23" spans="1:19" ht="18" customHeight="1" x14ac:dyDescent="0.25">
      <c r="A23" s="517" t="s">
        <v>183</v>
      </c>
      <c r="B23" s="417" t="s">
        <v>184</v>
      </c>
      <c r="C23" s="417" t="s">
        <v>185</v>
      </c>
      <c r="D23" s="471"/>
      <c r="E23" s="471"/>
      <c r="F23" s="471"/>
      <c r="G23" s="472">
        <f>'Link Data'!G25</f>
        <v>9188</v>
      </c>
      <c r="H23" s="472">
        <f>'Link Data'!H25</f>
        <v>1707</v>
      </c>
      <c r="I23" s="472">
        <f>'Link Data'!K25</f>
        <v>26</v>
      </c>
      <c r="J23" s="472">
        <f>H23-I23</f>
        <v>1681</v>
      </c>
      <c r="K23" s="482">
        <f>ROUND(E23+F23+(D23/D$5)+(G23/G$5)+(J23/J$5),2)</f>
        <v>476.22</v>
      </c>
      <c r="L23" s="474">
        <f>VLOOKUP($B23,weights,2,FALSE)</f>
        <v>1.1379999999999999</v>
      </c>
      <c r="M23" s="478">
        <f>ROUND(K23*L23*$M$5,2)</f>
        <v>5214348.54</v>
      </c>
      <c r="N23" s="498" t="s">
        <v>168</v>
      </c>
      <c r="O23" s="498">
        <v>0</v>
      </c>
      <c r="P23" s="436" t="s">
        <v>169</v>
      </c>
      <c r="Q23" s="514">
        <f>O23+M23</f>
        <v>5214348.54</v>
      </c>
      <c r="R23" s="518">
        <f>ROUND(Q23+Q22,0)</f>
        <v>13538889</v>
      </c>
      <c r="S23" s="519">
        <f>ROUND(Q23+Q22,0)</f>
        <v>13538889</v>
      </c>
    </row>
    <row r="24" spans="1:19" ht="18" customHeight="1" thickBot="1" x14ac:dyDescent="0.3">
      <c r="A24" s="513" t="s">
        <v>186</v>
      </c>
      <c r="B24" s="417" t="s">
        <v>187</v>
      </c>
      <c r="C24" s="417" t="s">
        <v>188</v>
      </c>
      <c r="D24" s="503"/>
      <c r="E24" s="471"/>
      <c r="F24" s="520"/>
      <c r="G24" s="472">
        <f>'Link Data'!G26+'Link Data'!G27</f>
        <v>828</v>
      </c>
      <c r="H24" s="472">
        <f>'Link Data'!H26+'Link Data'!H27</f>
        <v>392</v>
      </c>
      <c r="I24" s="472">
        <f>'Link Data'!K26+'Link Data'!K27</f>
        <v>47</v>
      </c>
      <c r="J24" s="472">
        <f>H24-I24</f>
        <v>345</v>
      </c>
      <c r="K24" s="482">
        <f>ROUND(E24+F24+(D24/D$5)+(G24/G$5)+(J24/J$5),2)</f>
        <v>53.67</v>
      </c>
      <c r="L24" s="474">
        <f>VLOOKUP($B24,weights,2,FALSE)</f>
        <v>1.7210000000000001</v>
      </c>
      <c r="M24" s="478">
        <f>ROUND(K24*L24*$M$5,2)</f>
        <v>888715.24</v>
      </c>
      <c r="N24" s="498" t="s">
        <v>168</v>
      </c>
      <c r="O24" s="479">
        <v>0</v>
      </c>
      <c r="P24" s="436"/>
      <c r="Q24" s="514">
        <f>O24+M24</f>
        <v>888715.24</v>
      </c>
      <c r="R24" s="480">
        <f>ROUND($Q24,0)</f>
        <v>888715</v>
      </c>
      <c r="S24" s="480">
        <f>ROUND($Q24,0)</f>
        <v>888715</v>
      </c>
    </row>
    <row r="25" spans="1:19" ht="18" customHeight="1" thickBot="1" x14ac:dyDescent="0.3">
      <c r="A25" s="483" t="s">
        <v>189</v>
      </c>
      <c r="B25" s="417" t="s">
        <v>175</v>
      </c>
      <c r="C25" s="417" t="s">
        <v>190</v>
      </c>
      <c r="D25" s="472">
        <f t="shared" ref="D25:I25" si="3">D18+SUM(D20:D24)</f>
        <v>26890</v>
      </c>
      <c r="E25" s="472">
        <f t="shared" si="3"/>
        <v>955</v>
      </c>
      <c r="F25" s="472">
        <f t="shared" si="3"/>
        <v>0</v>
      </c>
      <c r="G25" s="472">
        <f t="shared" si="3"/>
        <v>33854</v>
      </c>
      <c r="H25" s="472">
        <f t="shared" si="3"/>
        <v>11157</v>
      </c>
      <c r="I25" s="472">
        <f t="shared" si="3"/>
        <v>263</v>
      </c>
      <c r="J25" s="472">
        <f t="shared" ref="J25:K25" si="4">J18+SUM(J20:J24)</f>
        <v>10894</v>
      </c>
      <c r="K25" s="484">
        <f t="shared" si="4"/>
        <v>3867.1500000000005</v>
      </c>
      <c r="L25" s="485"/>
      <c r="M25" s="486">
        <f>M18+SUM(M20:M24)</f>
        <v>73752006.379999995</v>
      </c>
      <c r="N25" s="476"/>
      <c r="O25" s="521">
        <f>O18+SUM(O20:O24)</f>
        <v>0</v>
      </c>
      <c r="P25" s="522"/>
      <c r="Q25" s="488">
        <f>Q18+SUM(Q20:Q24)</f>
        <v>73752006.379999995</v>
      </c>
      <c r="R25" s="523">
        <f>R18+SUM(R20:R24)</f>
        <v>73752006</v>
      </c>
      <c r="S25" s="523">
        <f>S18+SUM(S20:S24)</f>
        <v>73752006</v>
      </c>
    </row>
    <row r="26" spans="1:19" ht="18" customHeight="1" x14ac:dyDescent="0.25">
      <c r="D26" s="490"/>
      <c r="E26" s="490"/>
      <c r="F26" s="490"/>
      <c r="G26" s="490"/>
      <c r="H26" s="490"/>
      <c r="I26" s="490"/>
      <c r="J26" s="490"/>
      <c r="K26" s="437" t="str">
        <f>IF(K25='Link Data'!M29,"","Error")</f>
        <v/>
      </c>
      <c r="M26" s="491"/>
    </row>
    <row r="27" spans="1:19" ht="18" customHeight="1" x14ac:dyDescent="0.25">
      <c r="D27" s="492"/>
      <c r="E27" s="490"/>
      <c r="F27" s="490"/>
      <c r="G27" s="492"/>
      <c r="H27" s="492"/>
      <c r="J27" s="492"/>
      <c r="K27" s="493"/>
      <c r="M27" s="491"/>
    </row>
    <row r="28" spans="1:19" ht="18" customHeight="1" x14ac:dyDescent="0.25">
      <c r="A28" s="468" t="s">
        <v>191</v>
      </c>
      <c r="B28" s="469"/>
      <c r="C28" s="469"/>
      <c r="D28" s="494"/>
      <c r="E28" s="494"/>
      <c r="F28" s="494"/>
      <c r="G28" s="494"/>
      <c r="H28" s="494"/>
      <c r="I28" s="490"/>
      <c r="J28" s="490"/>
      <c r="M28" s="437"/>
    </row>
    <row r="29" spans="1:19" ht="18" customHeight="1" x14ac:dyDescent="0.25">
      <c r="A29" s="524" t="s">
        <v>107</v>
      </c>
      <c r="B29" s="502" t="s">
        <v>166</v>
      </c>
      <c r="C29" s="502" t="s">
        <v>167</v>
      </c>
      <c r="D29" s="471"/>
      <c r="E29" s="472">
        <f>'Link Data'!I33</f>
        <v>979</v>
      </c>
      <c r="F29" s="471"/>
      <c r="G29" s="471"/>
      <c r="H29" s="471"/>
      <c r="I29" s="471"/>
      <c r="J29" s="472">
        <f t="shared" ref="J29:J38" si="5">H29-I29</f>
        <v>0</v>
      </c>
      <c r="K29" s="473">
        <f t="shared" ref="K29:K38" si="6">ROUND(E29+F29+(D29/D$5)+(G29/G$5)+(J29/J$5),2)</f>
        <v>979</v>
      </c>
      <c r="L29" s="474">
        <f t="shared" ref="L29:L38" si="7">VLOOKUP($B29,weights,2,FALSE)</f>
        <v>4.7530000000000001</v>
      </c>
      <c r="M29" s="475">
        <f t="shared" ref="M29:M38" si="8">ROUND(K29*L29*$M$5,2)</f>
        <v>44771399.549999997</v>
      </c>
      <c r="N29" s="525" t="s">
        <v>168</v>
      </c>
      <c r="O29" s="476">
        <f>ROUND(IF(K29&lt;ClassSize,(1-(K29/200))*(VLOOKUP($B29,weights,3,FALSE))*K29,0),0)</f>
        <v>0</v>
      </c>
      <c r="P29" s="526" t="s">
        <v>169</v>
      </c>
      <c r="Q29" s="475">
        <f t="shared" ref="Q29:Q38" si="9">O29+M29</f>
        <v>44771399.549999997</v>
      </c>
      <c r="R29" s="477">
        <f t="shared" ref="R29:S30" si="10">ROUND($Q29,0)</f>
        <v>44771400</v>
      </c>
      <c r="S29" s="477">
        <f t="shared" si="10"/>
        <v>44771400</v>
      </c>
    </row>
    <row r="30" spans="1:19" ht="18" customHeight="1" x14ac:dyDescent="0.25">
      <c r="A30" s="527" t="s">
        <v>106</v>
      </c>
      <c r="B30" s="502" t="s">
        <v>192</v>
      </c>
      <c r="C30" s="502" t="s">
        <v>193</v>
      </c>
      <c r="D30" s="471"/>
      <c r="E30" s="472">
        <f>'Link Data'!I34</f>
        <v>418</v>
      </c>
      <c r="F30" s="472">
        <f>'Link Data'!J35</f>
        <v>89</v>
      </c>
      <c r="G30" s="471"/>
      <c r="H30" s="471"/>
      <c r="I30" s="471"/>
      <c r="J30" s="472">
        <f t="shared" si="5"/>
        <v>0</v>
      </c>
      <c r="K30" s="473">
        <f t="shared" si="6"/>
        <v>507</v>
      </c>
      <c r="L30" s="474">
        <f t="shared" si="7"/>
        <v>4.601</v>
      </c>
      <c r="M30" s="478">
        <f t="shared" si="8"/>
        <v>22444521.809999999</v>
      </c>
      <c r="N30" s="525" t="s">
        <v>168</v>
      </c>
      <c r="O30" s="479">
        <f>ROUND(IF(K30&lt;ClassSize,(1-(K30/200))*(VLOOKUP($B30,weights,3,FALSE))*K30,0),0)</f>
        <v>0</v>
      </c>
      <c r="P30" s="526" t="s">
        <v>169</v>
      </c>
      <c r="Q30" s="478">
        <f t="shared" si="9"/>
        <v>22444521.809999999</v>
      </c>
      <c r="R30" s="480">
        <f t="shared" si="10"/>
        <v>22444522</v>
      </c>
      <c r="S30" s="480">
        <f t="shared" si="10"/>
        <v>22444522</v>
      </c>
    </row>
    <row r="31" spans="1:19" s="417" customFormat="1" ht="18" customHeight="1" x14ac:dyDescent="0.25">
      <c r="A31" s="528"/>
      <c r="B31" s="529"/>
      <c r="C31" s="529"/>
      <c r="D31" s="530"/>
      <c r="E31" s="530"/>
      <c r="F31" s="530"/>
      <c r="G31" s="530"/>
      <c r="H31" s="530"/>
      <c r="I31" s="530"/>
      <c r="J31" s="530"/>
      <c r="K31" s="531"/>
      <c r="L31" s="532"/>
      <c r="M31" s="533"/>
      <c r="N31" s="534"/>
      <c r="O31" s="535"/>
      <c r="P31" s="536"/>
      <c r="Q31" s="533"/>
      <c r="R31" s="537"/>
      <c r="S31" s="537"/>
    </row>
    <row r="32" spans="1:19" ht="18" customHeight="1" x14ac:dyDescent="0.25">
      <c r="A32" s="524" t="s">
        <v>101</v>
      </c>
      <c r="B32" s="502" t="s">
        <v>170</v>
      </c>
      <c r="C32" s="502"/>
      <c r="D32" s="471"/>
      <c r="E32" s="471"/>
      <c r="F32" s="471"/>
      <c r="G32" s="472">
        <f>'Link Data'!G36+'Link Data'!G37+'Link Data'!G38</f>
        <v>2713</v>
      </c>
      <c r="H32" s="472">
        <f>'Link Data'!H36+'Link Data'!H37+'Link Data'!H38</f>
        <v>7518</v>
      </c>
      <c r="I32" s="472">
        <f>'Link Data'!K36+'Link Data'!K37</f>
        <v>68</v>
      </c>
      <c r="J32" s="472">
        <f t="shared" ref="J32" si="11">H32-I32</f>
        <v>7450</v>
      </c>
      <c r="K32" s="473">
        <f t="shared" ref="K32" si="12">ROUND(E32+F32+(D32/D$5)+(G32/G$5)+(J32/J$5),2)</f>
        <v>526.92999999999995</v>
      </c>
      <c r="L32" s="474">
        <f t="shared" si="7"/>
        <v>1.018</v>
      </c>
      <c r="M32" s="499">
        <f t="shared" ref="M32" si="13">ROUND(K32*L32*$M$5,2)</f>
        <v>5161202.13</v>
      </c>
      <c r="N32" s="525" t="s">
        <v>168</v>
      </c>
      <c r="O32" s="498">
        <f>ROUND(IF(K32&lt;ClassSize,(1-(K32/200))*(VLOOKUP($B32,weights,3,FALSE))*K32,0),0)</f>
        <v>0</v>
      </c>
      <c r="P32" s="526" t="s">
        <v>169</v>
      </c>
      <c r="Q32" s="499">
        <f t="shared" ref="Q32" si="14">O32+M32</f>
        <v>5161202.13</v>
      </c>
      <c r="R32" s="538"/>
      <c r="S32" s="538"/>
    </row>
    <row r="33" spans="1:19" ht="18" customHeight="1" x14ac:dyDescent="0.25">
      <c r="A33" s="524" t="s">
        <v>194</v>
      </c>
      <c r="B33" s="502" t="s">
        <v>170</v>
      </c>
      <c r="C33" s="502"/>
      <c r="D33" s="471"/>
      <c r="E33" s="471"/>
      <c r="F33" s="471"/>
      <c r="G33" s="472">
        <f>'Link Data'!G39</f>
        <v>0</v>
      </c>
      <c r="H33" s="472">
        <f>'Link Data'!H39</f>
        <v>96</v>
      </c>
      <c r="I33" s="472">
        <f>'Link Data'!K39</f>
        <v>6</v>
      </c>
      <c r="J33" s="472">
        <f t="shared" si="5"/>
        <v>90</v>
      </c>
      <c r="K33" s="473">
        <f t="shared" si="6"/>
        <v>5</v>
      </c>
      <c r="L33" s="474">
        <f t="shared" si="7"/>
        <v>1.018</v>
      </c>
      <c r="M33" s="499">
        <f t="shared" si="8"/>
        <v>48974.27</v>
      </c>
      <c r="N33" s="525" t="s">
        <v>168</v>
      </c>
      <c r="O33" s="498">
        <f>ROUND(IF(K33&lt;ClassSize,(1-(K33/200))*(VLOOKUP($B33,weights,3,FALSE))*K33,0),0)</f>
        <v>97500</v>
      </c>
      <c r="P33" s="526" t="s">
        <v>169</v>
      </c>
      <c r="Q33" s="499">
        <f t="shared" si="9"/>
        <v>146474.26999999999</v>
      </c>
      <c r="R33" s="538"/>
      <c r="S33" s="538"/>
    </row>
    <row r="34" spans="1:19" ht="18" customHeight="1" x14ac:dyDescent="0.25">
      <c r="A34" s="501" t="s">
        <v>195</v>
      </c>
      <c r="B34" s="502"/>
      <c r="C34" s="502" t="s">
        <v>171</v>
      </c>
      <c r="D34" s="471"/>
      <c r="E34" s="471"/>
      <c r="F34" s="471"/>
      <c r="G34" s="472">
        <f>SUM(G32:G33)</f>
        <v>2713</v>
      </c>
      <c r="H34" s="472">
        <f>SUM(H32:H33)</f>
        <v>7614</v>
      </c>
      <c r="I34" s="472">
        <f>SUM(I32:I33)</f>
        <v>74</v>
      </c>
      <c r="J34" s="472">
        <f>SUM(J32:J33)</f>
        <v>7540</v>
      </c>
      <c r="K34" s="473">
        <f>SUM(K32:K33)</f>
        <v>531.92999999999995</v>
      </c>
      <c r="L34" s="474"/>
      <c r="M34" s="478">
        <f>SUM(M32:M33)</f>
        <v>5210176.3999999994</v>
      </c>
      <c r="N34" s="525"/>
      <c r="O34" s="539">
        <f>SUM(O32:O33)</f>
        <v>97500</v>
      </c>
      <c r="P34" s="526"/>
      <c r="Q34" s="514">
        <f>SUM(Q32:Q33)</f>
        <v>5307676.3999999994</v>
      </c>
      <c r="R34" s="540">
        <f>ROUND($Q34,0)</f>
        <v>5307676</v>
      </c>
      <c r="S34" s="540">
        <f>ROUND($Q34,0)</f>
        <v>5307676</v>
      </c>
    </row>
    <row r="35" spans="1:19" ht="18" customHeight="1" x14ac:dyDescent="0.25">
      <c r="A35" s="524"/>
      <c r="B35" s="502"/>
      <c r="C35" s="502"/>
      <c r="D35" s="472"/>
      <c r="E35" s="472"/>
      <c r="F35" s="472"/>
      <c r="G35" s="472"/>
      <c r="H35" s="472"/>
      <c r="I35" s="472"/>
      <c r="J35" s="472"/>
      <c r="K35" s="473"/>
      <c r="L35" s="474"/>
      <c r="M35" s="478"/>
      <c r="N35" s="525"/>
      <c r="O35" s="539"/>
      <c r="P35" s="526"/>
      <c r="Q35" s="514"/>
      <c r="R35" s="538"/>
      <c r="S35" s="538"/>
    </row>
    <row r="36" spans="1:19" ht="18" customHeight="1" x14ac:dyDescent="0.25">
      <c r="A36" s="502" t="s">
        <v>196</v>
      </c>
      <c r="B36" s="502" t="s">
        <v>172</v>
      </c>
      <c r="C36" s="502" t="s">
        <v>173</v>
      </c>
      <c r="D36" s="472">
        <f>'Link Data'!F40+'Link Data'!F41</f>
        <v>2271</v>
      </c>
      <c r="E36" s="471"/>
      <c r="F36" s="471"/>
      <c r="G36" s="471"/>
      <c r="H36" s="471"/>
      <c r="I36" s="471"/>
      <c r="J36" s="472">
        <f>H36-I36</f>
        <v>0</v>
      </c>
      <c r="K36" s="473">
        <f>ROUND(E36+F36+(D36/D$5)+(G36/G$5)+(J36/J$5),2)</f>
        <v>75.7</v>
      </c>
      <c r="L36" s="474">
        <f>VLOOKUP($B36,weights,2,FALSE)</f>
        <v>1</v>
      </c>
      <c r="M36" s="478">
        <f>ROUND(K36*L36*$M$5,2)</f>
        <v>728359.93</v>
      </c>
      <c r="N36" s="525" t="s">
        <v>168</v>
      </c>
      <c r="O36" s="498">
        <v>0</v>
      </c>
      <c r="P36" s="526" t="s">
        <v>169</v>
      </c>
      <c r="Q36" s="541">
        <f>O36+M36</f>
        <v>728359.93</v>
      </c>
      <c r="R36" s="480">
        <f t="shared" ref="R36:S36" si="15">ROUND($Q36,0)</f>
        <v>728360</v>
      </c>
      <c r="S36" s="480">
        <f t="shared" si="15"/>
        <v>728360</v>
      </c>
    </row>
    <row r="37" spans="1:19" ht="18" customHeight="1" x14ac:dyDescent="0.25">
      <c r="A37" s="542" t="s">
        <v>197</v>
      </c>
      <c r="B37" s="502" t="s">
        <v>198</v>
      </c>
      <c r="C37" s="502" t="s">
        <v>199</v>
      </c>
      <c r="D37" s="471"/>
      <c r="E37" s="471"/>
      <c r="F37" s="471"/>
      <c r="G37" s="496">
        <f>'Link Data'!G42+'Link Data'!G43</f>
        <v>3365</v>
      </c>
      <c r="H37" s="496">
        <f>'Link Data'!H42+'Link Data'!H43</f>
        <v>599</v>
      </c>
      <c r="I37" s="496">
        <f>'Link Data'!K42+'Link Data'!K43</f>
        <v>12</v>
      </c>
      <c r="J37" s="496">
        <f t="shared" si="5"/>
        <v>587</v>
      </c>
      <c r="K37" s="543">
        <f t="shared" si="6"/>
        <v>172.82</v>
      </c>
      <c r="L37" s="544">
        <f t="shared" si="7"/>
        <v>1.75</v>
      </c>
      <c r="M37" s="545">
        <f t="shared" si="8"/>
        <v>2909927.8</v>
      </c>
      <c r="N37" s="525" t="s">
        <v>168</v>
      </c>
      <c r="O37" s="538">
        <v>0</v>
      </c>
      <c r="P37" s="546" t="s">
        <v>169</v>
      </c>
      <c r="Q37" s="541">
        <f t="shared" si="9"/>
        <v>2909927.8</v>
      </c>
      <c r="R37" s="538"/>
      <c r="S37" s="538"/>
    </row>
    <row r="38" spans="1:19" ht="33.75" customHeight="1" x14ac:dyDescent="0.25">
      <c r="A38" s="547" t="s">
        <v>200</v>
      </c>
      <c r="B38" s="502" t="s">
        <v>198</v>
      </c>
      <c r="C38" s="502" t="s">
        <v>199</v>
      </c>
      <c r="D38" s="471"/>
      <c r="E38" s="471"/>
      <c r="F38" s="471"/>
      <c r="G38" s="496">
        <f>'Link Data'!G44</f>
        <v>0</v>
      </c>
      <c r="H38" s="496">
        <f>'Link Data'!H44</f>
        <v>0</v>
      </c>
      <c r="I38" s="496">
        <f>'Link Data'!K44</f>
        <v>0</v>
      </c>
      <c r="J38" s="496">
        <f t="shared" si="5"/>
        <v>0</v>
      </c>
      <c r="K38" s="543">
        <f t="shared" si="6"/>
        <v>0</v>
      </c>
      <c r="L38" s="544">
        <f t="shared" si="7"/>
        <v>1.75</v>
      </c>
      <c r="M38" s="545">
        <f t="shared" si="8"/>
        <v>0</v>
      </c>
      <c r="N38" s="525"/>
      <c r="O38" s="498">
        <f>ROUND(IF(K38&lt;ClassSize,(1-(K38/200))*(VLOOKUP($B38,weights,3,FALSE))*K38,0),0)</f>
        <v>0</v>
      </c>
      <c r="P38" s="546" t="s">
        <v>169</v>
      </c>
      <c r="Q38" s="541">
        <f t="shared" si="9"/>
        <v>0</v>
      </c>
      <c r="R38" s="480">
        <f>ROUND(SUM($Q$37:$Q$38),0)</f>
        <v>2909928</v>
      </c>
      <c r="S38" s="480">
        <f>ROUND(SUM($Q$37:$Q$38),0)</f>
        <v>2909928</v>
      </c>
    </row>
    <row r="39" spans="1:19" ht="18" customHeight="1" x14ac:dyDescent="0.25">
      <c r="D39" s="490"/>
      <c r="E39" s="490"/>
      <c r="F39" s="490"/>
      <c r="G39" s="490"/>
      <c r="H39" s="490"/>
      <c r="I39" s="490"/>
      <c r="J39" s="490"/>
      <c r="M39" s="500"/>
      <c r="N39" s="432"/>
      <c r="O39" s="500"/>
      <c r="Q39" s="500"/>
      <c r="R39" s="500"/>
      <c r="S39" s="500"/>
    </row>
    <row r="40" spans="1:19" ht="18" customHeight="1" x14ac:dyDescent="0.25">
      <c r="D40" s="490"/>
      <c r="E40" s="490"/>
      <c r="F40" s="490"/>
      <c r="G40" s="490"/>
      <c r="H40" s="490"/>
      <c r="I40" s="490"/>
      <c r="J40" s="490"/>
      <c r="M40" s="500"/>
      <c r="N40" s="432"/>
      <c r="O40" s="500"/>
      <c r="Q40" s="500"/>
      <c r="R40" s="500"/>
      <c r="S40" s="500"/>
    </row>
    <row r="41" spans="1:19" ht="18" customHeight="1" x14ac:dyDescent="0.25">
      <c r="A41" s="548" t="s">
        <v>201</v>
      </c>
      <c r="B41" s="502" t="s">
        <v>181</v>
      </c>
      <c r="C41" s="502" t="s">
        <v>182</v>
      </c>
      <c r="D41" s="472">
        <f>'Link Data'!F45</f>
        <v>24925</v>
      </c>
      <c r="E41" s="471"/>
      <c r="F41" s="471"/>
      <c r="G41" s="471"/>
      <c r="H41" s="471"/>
      <c r="I41" s="471"/>
      <c r="J41" s="472">
        <f>H41-I41</f>
        <v>0</v>
      </c>
      <c r="K41" s="473">
        <f>ROUND(E41+F41+(D41/D$5)+(G41/G$5)+(J41/J$5),2)</f>
        <v>830.83</v>
      </c>
      <c r="L41" s="474">
        <f>VLOOKUP($B41,weights,2,FALSE)</f>
        <v>1.1379999999999999</v>
      </c>
      <c r="M41" s="475">
        <f>ROUND(K41*L41*$M$5,2)</f>
        <v>9097134.0899999999</v>
      </c>
      <c r="N41" s="549" t="s">
        <v>168</v>
      </c>
      <c r="O41" s="476">
        <f>ROUND(IF((K41+K43)&lt;ClassSize,(1-((K41+K43)/200))*(VLOOKUP($B41,weights,3,FALSE))*(K41+K43),0),0)</f>
        <v>0</v>
      </c>
      <c r="P41" s="436" t="s">
        <v>169</v>
      </c>
      <c r="Q41" s="475">
        <f>O41+M41</f>
        <v>9097134.0899999999</v>
      </c>
      <c r="R41" s="495"/>
      <c r="S41" s="495"/>
    </row>
    <row r="42" spans="1:19" ht="18" customHeight="1" x14ac:dyDescent="0.25">
      <c r="A42" s="550"/>
      <c r="D42" s="490"/>
      <c r="E42" s="490"/>
      <c r="F42" s="490"/>
      <c r="L42" s="423"/>
      <c r="M42" s="500"/>
      <c r="O42" s="500"/>
      <c r="Q42" s="500"/>
      <c r="R42" s="500"/>
      <c r="S42" s="500"/>
    </row>
    <row r="43" spans="1:19" ht="18" customHeight="1" x14ac:dyDescent="0.25">
      <c r="A43" s="551" t="s">
        <v>202</v>
      </c>
      <c r="B43" s="417" t="s">
        <v>184</v>
      </c>
      <c r="D43" s="520"/>
      <c r="E43" s="520"/>
      <c r="F43" s="520"/>
      <c r="G43" s="490">
        <f>'Link Data'!G45</f>
        <v>11641</v>
      </c>
      <c r="H43" s="490">
        <f>'Link Data'!H45</f>
        <v>5983</v>
      </c>
      <c r="I43" s="490">
        <f>'Link Data'!K45</f>
        <v>0</v>
      </c>
      <c r="J43" s="490">
        <f>H43-I43</f>
        <v>5983</v>
      </c>
      <c r="K43" s="437">
        <f>ROUND(E43+F43+(D43/D$5)+(G43/G$5)+(J43/J$5),2)</f>
        <v>817.43</v>
      </c>
      <c r="L43" s="442">
        <f>VLOOKUP($B43,weights,2,FALSE)</f>
        <v>1.1379999999999999</v>
      </c>
      <c r="M43" s="552">
        <f>ROUND(K43*L43*$M$5,2)</f>
        <v>8950411.4199999999</v>
      </c>
      <c r="N43" s="432" t="s">
        <v>168</v>
      </c>
      <c r="O43" s="495">
        <v>0</v>
      </c>
      <c r="P43" s="423" t="s">
        <v>169</v>
      </c>
      <c r="Q43" s="552">
        <f>O43+M43</f>
        <v>8950411.4199999999</v>
      </c>
      <c r="R43" s="500"/>
      <c r="S43" s="500"/>
    </row>
    <row r="44" spans="1:19" ht="18" customHeight="1" x14ac:dyDescent="0.25">
      <c r="A44" s="553" t="s">
        <v>203</v>
      </c>
      <c r="B44" s="417" t="s">
        <v>184</v>
      </c>
      <c r="D44" s="520"/>
      <c r="E44" s="520"/>
      <c r="F44" s="520"/>
      <c r="G44" s="490">
        <f>'Link Data'!G46</f>
        <v>0</v>
      </c>
      <c r="H44" s="490">
        <f>'Link Data'!H46</f>
        <v>0</v>
      </c>
      <c r="I44" s="490">
        <f>'Link Data'!K46</f>
        <v>0</v>
      </c>
      <c r="J44" s="490">
        <f>H44-I44</f>
        <v>0</v>
      </c>
      <c r="K44" s="437">
        <f>ROUND(E44+F44+(D44/D$5)+(G44/G$5)+(J44/J$5),2)</f>
        <v>0</v>
      </c>
      <c r="L44" s="442">
        <f>VLOOKUP($B44,weights,2,FALSE)</f>
        <v>1.1379999999999999</v>
      </c>
      <c r="M44" s="554">
        <f>ROUND(K44*L44*$M$5,2)</f>
        <v>0</v>
      </c>
      <c r="N44" s="432" t="s">
        <v>168</v>
      </c>
      <c r="O44" s="500">
        <v>0</v>
      </c>
      <c r="P44" s="423" t="s">
        <v>169</v>
      </c>
      <c r="Q44" s="554">
        <f>O44+M44</f>
        <v>0</v>
      </c>
      <c r="R44" s="500"/>
      <c r="S44" s="500"/>
    </row>
    <row r="45" spans="1:19" ht="18" customHeight="1" x14ac:dyDescent="0.25">
      <c r="A45" s="555" t="s">
        <v>204</v>
      </c>
      <c r="B45" s="502"/>
      <c r="C45" s="502" t="s">
        <v>185</v>
      </c>
      <c r="D45" s="496"/>
      <c r="E45" s="496"/>
      <c r="F45" s="496"/>
      <c r="G45" s="472">
        <f>SUM(G43:G44)</f>
        <v>11641</v>
      </c>
      <c r="H45" s="472">
        <f>SUM(H43:H44)</f>
        <v>5983</v>
      </c>
      <c r="I45" s="472">
        <f>SUM(I43:I44)</f>
        <v>0</v>
      </c>
      <c r="J45" s="472">
        <f>SUM(J43:J44)</f>
        <v>5983</v>
      </c>
      <c r="K45" s="473">
        <f>SUM(K43:K44)</f>
        <v>817.43</v>
      </c>
      <c r="L45" s="474"/>
      <c r="M45" s="475">
        <f>SUM(M43:M44)</f>
        <v>8950411.4199999999</v>
      </c>
      <c r="N45" s="549"/>
      <c r="O45" s="479">
        <f>SUM(O43:O44)</f>
        <v>0</v>
      </c>
      <c r="P45" s="436"/>
      <c r="Q45" s="475">
        <f>SUM(Q43:Q44)</f>
        <v>8950411.4199999999</v>
      </c>
      <c r="R45" s="477">
        <f>ROUND($Q45+$Q41,0)</f>
        <v>18047546</v>
      </c>
      <c r="S45" s="477">
        <f>ROUND($Q45+$Q41,0)</f>
        <v>18047546</v>
      </c>
    </row>
    <row r="46" spans="1:19" ht="18" customHeight="1" x14ac:dyDescent="0.25">
      <c r="A46" s="556"/>
      <c r="D46" s="490"/>
      <c r="E46" s="490"/>
      <c r="F46" s="490"/>
      <c r="G46" s="490"/>
      <c r="H46" s="490"/>
      <c r="I46" s="490"/>
      <c r="J46" s="490"/>
      <c r="M46" s="500"/>
      <c r="N46" s="432"/>
      <c r="O46" s="500"/>
      <c r="Q46" s="500"/>
      <c r="R46" s="500"/>
      <c r="S46" s="500"/>
    </row>
    <row r="47" spans="1:19" ht="18" customHeight="1" x14ac:dyDescent="0.25">
      <c r="A47" s="551" t="s">
        <v>205</v>
      </c>
      <c r="B47" s="417" t="s">
        <v>187</v>
      </c>
      <c r="D47" s="490">
        <f>'Link Data'!F47</f>
        <v>0</v>
      </c>
      <c r="E47" s="520"/>
      <c r="F47" s="520"/>
      <c r="G47" s="490">
        <f>'Link Data'!G47+'Link Data'!G48</f>
        <v>12667</v>
      </c>
      <c r="H47" s="490">
        <f>'Link Data'!H47+'Link Data'!H48</f>
        <v>5442</v>
      </c>
      <c r="I47" s="490">
        <f>'Link Data'!K47+'Link Data'!K48</f>
        <v>1</v>
      </c>
      <c r="J47" s="490">
        <f t="shared" ref="J47:J52" si="16">H47-I47</f>
        <v>5441</v>
      </c>
      <c r="K47" s="437">
        <f t="shared" ref="K47:K52" si="17">ROUND(E47+F47+(D47/D$5)+(G47/G$5)+(J47/J$5),2)</f>
        <v>830.07</v>
      </c>
      <c r="L47" s="442">
        <f t="shared" ref="L47:L52" si="18">VLOOKUP($B47,weights,2,FALSE)</f>
        <v>1.7210000000000001</v>
      </c>
      <c r="M47" s="552">
        <f t="shared" ref="M47:M52" si="19">ROUND(K47*L47*$M$5,2)</f>
        <v>13745031.92</v>
      </c>
      <c r="N47" s="432" t="s">
        <v>168</v>
      </c>
      <c r="O47" s="495">
        <f t="shared" ref="O47:O52" si="20">ROUND(IF(K47&lt;ClassSize,(1-(K47/200))*(VLOOKUP($B47,weights,3,FALSE))*K47,0),0)</f>
        <v>0</v>
      </c>
      <c r="P47" s="423" t="s">
        <v>169</v>
      </c>
      <c r="Q47" s="552">
        <f t="shared" ref="Q47:Q52" si="21">O47+M47</f>
        <v>13745031.92</v>
      </c>
      <c r="R47" s="500"/>
      <c r="S47" s="500"/>
    </row>
    <row r="48" spans="1:19" ht="18" customHeight="1" x14ac:dyDescent="0.25">
      <c r="A48" s="551" t="s">
        <v>206</v>
      </c>
      <c r="B48" s="417" t="s">
        <v>187</v>
      </c>
      <c r="D48" s="490">
        <f>'Link Data'!F49</f>
        <v>0</v>
      </c>
      <c r="E48" s="520"/>
      <c r="F48" s="520"/>
      <c r="G48" s="490">
        <f>'Link Data'!G49</f>
        <v>3555</v>
      </c>
      <c r="H48" s="490">
        <f>'Link Data'!H49</f>
        <v>464</v>
      </c>
      <c r="I48" s="490">
        <f>'Link Data'!K49</f>
        <v>0</v>
      </c>
      <c r="J48" s="490">
        <f t="shared" si="16"/>
        <v>464</v>
      </c>
      <c r="K48" s="437">
        <f t="shared" si="17"/>
        <v>173.9</v>
      </c>
      <c r="L48" s="442">
        <f t="shared" si="18"/>
        <v>1.7210000000000001</v>
      </c>
      <c r="M48" s="554">
        <f t="shared" si="19"/>
        <v>2879589.74</v>
      </c>
      <c r="N48" s="432" t="s">
        <v>168</v>
      </c>
      <c r="O48" s="500">
        <f t="shared" si="20"/>
        <v>453879</v>
      </c>
      <c r="P48" s="423" t="s">
        <v>169</v>
      </c>
      <c r="Q48" s="554">
        <f t="shared" si="21"/>
        <v>3333468.74</v>
      </c>
      <c r="R48" s="500"/>
      <c r="S48" s="500"/>
    </row>
    <row r="49" spans="1:19" ht="18" customHeight="1" x14ac:dyDescent="0.25">
      <c r="A49" s="551" t="s">
        <v>207</v>
      </c>
      <c r="B49" s="417" t="s">
        <v>187</v>
      </c>
      <c r="D49" s="490">
        <f>'Link Data'!F50</f>
        <v>0</v>
      </c>
      <c r="E49" s="520"/>
      <c r="F49" s="520"/>
      <c r="G49" s="490">
        <f>'Link Data'!G50</f>
        <v>575</v>
      </c>
      <c r="H49" s="490">
        <f>'Link Data'!H50</f>
        <v>208</v>
      </c>
      <c r="I49" s="490">
        <f>'Link Data'!K50</f>
        <v>0</v>
      </c>
      <c r="J49" s="490">
        <f t="shared" si="16"/>
        <v>208</v>
      </c>
      <c r="K49" s="437">
        <f t="shared" si="17"/>
        <v>35.51</v>
      </c>
      <c r="L49" s="442">
        <f t="shared" si="18"/>
        <v>1.7210000000000001</v>
      </c>
      <c r="M49" s="554">
        <f t="shared" si="19"/>
        <v>588005.93000000005</v>
      </c>
      <c r="N49" s="432" t="s">
        <v>168</v>
      </c>
      <c r="O49" s="500">
        <f t="shared" si="20"/>
        <v>584104</v>
      </c>
      <c r="P49" s="423" t="s">
        <v>169</v>
      </c>
      <c r="Q49" s="554">
        <f t="shared" si="21"/>
        <v>1172109.9300000002</v>
      </c>
      <c r="R49" s="500"/>
      <c r="S49" s="500"/>
    </row>
    <row r="50" spans="1:19" ht="18" customHeight="1" x14ac:dyDescent="0.25">
      <c r="A50" s="551" t="s">
        <v>208</v>
      </c>
      <c r="B50" s="417" t="s">
        <v>187</v>
      </c>
      <c r="D50" s="490">
        <f>'Link Data'!F51</f>
        <v>0</v>
      </c>
      <c r="E50" s="520"/>
      <c r="F50" s="520"/>
      <c r="G50" s="490">
        <f>'Link Data'!G51+'Link Data'!G52</f>
        <v>2280</v>
      </c>
      <c r="H50" s="490">
        <f>'Link Data'!H51</f>
        <v>350</v>
      </c>
      <c r="I50" s="490">
        <f>'Link Data'!K51</f>
        <v>0</v>
      </c>
      <c r="J50" s="490">
        <f t="shared" si="16"/>
        <v>350</v>
      </c>
      <c r="K50" s="437">
        <f t="shared" si="17"/>
        <v>114.44</v>
      </c>
      <c r="L50" s="442">
        <f t="shared" si="18"/>
        <v>1.7210000000000001</v>
      </c>
      <c r="M50" s="554">
        <f t="shared" si="19"/>
        <v>1894998.56</v>
      </c>
      <c r="N50" s="432" t="s">
        <v>168</v>
      </c>
      <c r="O50" s="500">
        <f t="shared" si="20"/>
        <v>979149</v>
      </c>
      <c r="P50" s="423" t="s">
        <v>169</v>
      </c>
      <c r="Q50" s="554">
        <f t="shared" si="21"/>
        <v>2874147.56</v>
      </c>
      <c r="R50" s="500"/>
      <c r="S50" s="500"/>
    </row>
    <row r="51" spans="1:19" ht="18" customHeight="1" x14ac:dyDescent="0.25">
      <c r="A51" s="551" t="s">
        <v>209</v>
      </c>
      <c r="B51" s="417" t="s">
        <v>187</v>
      </c>
      <c r="D51" s="490">
        <f>'Link Data'!F53</f>
        <v>0</v>
      </c>
      <c r="E51" s="520"/>
      <c r="F51" s="520"/>
      <c r="G51" s="490">
        <f>'Link Data'!G53</f>
        <v>386</v>
      </c>
      <c r="H51" s="490">
        <f>'Link Data'!H53</f>
        <v>159</v>
      </c>
      <c r="I51" s="490">
        <f>'Link Data'!K53+'Link Data'!K52</f>
        <v>0</v>
      </c>
      <c r="J51" s="490">
        <f t="shared" si="16"/>
        <v>159</v>
      </c>
      <c r="K51" s="437">
        <f t="shared" si="17"/>
        <v>24.92</v>
      </c>
      <c r="L51" s="442">
        <f t="shared" si="18"/>
        <v>1.7210000000000001</v>
      </c>
      <c r="M51" s="554">
        <f t="shared" si="19"/>
        <v>412647.36</v>
      </c>
      <c r="N51" s="432" t="s">
        <v>168</v>
      </c>
      <c r="O51" s="500">
        <f t="shared" si="20"/>
        <v>436299</v>
      </c>
      <c r="P51" s="423" t="s">
        <v>169</v>
      </c>
      <c r="Q51" s="554">
        <f t="shared" si="21"/>
        <v>848946.36</v>
      </c>
      <c r="R51" s="500"/>
      <c r="S51" s="500"/>
    </row>
    <row r="52" spans="1:19" ht="18" customHeight="1" x14ac:dyDescent="0.25">
      <c r="A52" s="551" t="s">
        <v>210</v>
      </c>
      <c r="B52" s="417" t="s">
        <v>187</v>
      </c>
      <c r="D52" s="490">
        <f>'Link Data'!F54</f>
        <v>0</v>
      </c>
      <c r="E52" s="520"/>
      <c r="F52" s="520"/>
      <c r="G52" s="490">
        <f>'Link Data'!G54</f>
        <v>2645</v>
      </c>
      <c r="H52" s="490">
        <f>'Link Data'!H54</f>
        <v>348</v>
      </c>
      <c r="I52" s="490">
        <f>'Link Data'!K54</f>
        <v>0</v>
      </c>
      <c r="J52" s="490">
        <f t="shared" si="16"/>
        <v>348</v>
      </c>
      <c r="K52" s="437">
        <f t="shared" si="17"/>
        <v>129.54</v>
      </c>
      <c r="L52" s="442">
        <f t="shared" si="18"/>
        <v>1.7210000000000001</v>
      </c>
      <c r="M52" s="554">
        <f t="shared" si="19"/>
        <v>2145037.69</v>
      </c>
      <c r="N52" s="432" t="s">
        <v>168</v>
      </c>
      <c r="O52" s="500">
        <f t="shared" si="20"/>
        <v>912739</v>
      </c>
      <c r="P52" s="423" t="s">
        <v>169</v>
      </c>
      <c r="Q52" s="554">
        <f t="shared" si="21"/>
        <v>3057776.69</v>
      </c>
      <c r="R52" s="500"/>
      <c r="S52" s="500"/>
    </row>
    <row r="53" spans="1:19" ht="18" customHeight="1" thickBot="1" x14ac:dyDescent="0.3">
      <c r="A53" s="557" t="s">
        <v>211</v>
      </c>
      <c r="B53" s="502"/>
      <c r="C53" s="502" t="s">
        <v>188</v>
      </c>
      <c r="D53" s="472">
        <f>SUM(D47:D52)</f>
        <v>0</v>
      </c>
      <c r="E53" s="472"/>
      <c r="F53" s="472"/>
      <c r="G53" s="472">
        <f>SUM(G47:G52)</f>
        <v>22108</v>
      </c>
      <c r="H53" s="472">
        <f>SUM(H47:H52)</f>
        <v>6971</v>
      </c>
      <c r="I53" s="472">
        <f>SUM(I47:I52)</f>
        <v>1</v>
      </c>
      <c r="J53" s="472">
        <f>SUM(J47:J52)</f>
        <v>6970</v>
      </c>
      <c r="K53" s="482">
        <f>SUM(K47:K52)</f>
        <v>1308.3800000000001</v>
      </c>
      <c r="L53" s="474"/>
      <c r="M53" s="475">
        <f>SUM(M47:M52)</f>
        <v>21665311.199999999</v>
      </c>
      <c r="N53" s="549"/>
      <c r="O53" s="558">
        <f>SUM(O47:O52)</f>
        <v>3366170</v>
      </c>
      <c r="P53" s="436"/>
      <c r="Q53" s="475">
        <f>SUM(Q47:Q52)</f>
        <v>25031481.199999999</v>
      </c>
      <c r="R53" s="477">
        <f>ROUND($Q53,0)</f>
        <v>25031481</v>
      </c>
      <c r="S53" s="477">
        <f>ROUND($Q53,0)</f>
        <v>25031481</v>
      </c>
    </row>
    <row r="54" spans="1:19" ht="18" customHeight="1" thickBot="1" x14ac:dyDescent="0.3">
      <c r="A54" s="559" t="s">
        <v>212</v>
      </c>
      <c r="B54" s="417" t="s">
        <v>175</v>
      </c>
      <c r="C54" s="417" t="s">
        <v>213</v>
      </c>
      <c r="D54" s="503">
        <f t="shared" ref="D54:K54" si="22">D53+D45+D41+D36+D38+D34+D30+D29+D37</f>
        <v>27196</v>
      </c>
      <c r="E54" s="503">
        <f t="shared" si="22"/>
        <v>1397</v>
      </c>
      <c r="F54" s="503">
        <f t="shared" si="22"/>
        <v>89</v>
      </c>
      <c r="G54" s="503">
        <f t="shared" si="22"/>
        <v>39827</v>
      </c>
      <c r="H54" s="503">
        <f t="shared" si="22"/>
        <v>21167</v>
      </c>
      <c r="I54" s="503">
        <f t="shared" si="22"/>
        <v>87</v>
      </c>
      <c r="J54" s="503">
        <f t="shared" si="22"/>
        <v>21080</v>
      </c>
      <c r="K54" s="560">
        <f t="shared" si="22"/>
        <v>5223.0899999999992</v>
      </c>
      <c r="L54" s="561"/>
      <c r="M54" s="562">
        <f>M53+M45+M41+M36+M38+M34+M30+M29+M37</f>
        <v>115777242.19999999</v>
      </c>
      <c r="N54" s="432"/>
      <c r="O54" s="521">
        <f>O53+O45+O41+O36+O38+O34+O30+O29+O37</f>
        <v>3463670</v>
      </c>
      <c r="P54" s="509" t="s">
        <v>169</v>
      </c>
      <c r="Q54" s="488">
        <f>Q53+Q45+Q41+Q36+Q38+Q34+Q30+Q29+Q37</f>
        <v>119240912.19999999</v>
      </c>
      <c r="R54" s="523">
        <f>SUM(R29:R53)</f>
        <v>119240913</v>
      </c>
      <c r="S54" s="523">
        <f>SUM(S29:S53)</f>
        <v>119240913</v>
      </c>
    </row>
    <row r="55" spans="1:19" ht="18" customHeight="1" x14ac:dyDescent="0.25">
      <c r="A55" s="563"/>
      <c r="D55" s="490"/>
      <c r="E55" s="490"/>
      <c r="F55" s="490"/>
      <c r="G55" s="490"/>
      <c r="H55" s="490"/>
      <c r="I55" s="490"/>
      <c r="J55" s="490"/>
      <c r="K55" s="437" t="str">
        <f>IF(K54='Link Data'!M56,"","Error")</f>
        <v/>
      </c>
      <c r="M55" s="491"/>
    </row>
    <row r="56" spans="1:19" ht="18" customHeight="1" x14ac:dyDescent="0.25">
      <c r="A56" s="563"/>
      <c r="D56" s="492"/>
      <c r="E56" s="490"/>
      <c r="F56" s="490"/>
      <c r="G56" s="492"/>
      <c r="H56" s="492"/>
      <c r="J56" s="492"/>
      <c r="K56" s="493"/>
      <c r="M56" s="491"/>
      <c r="O56" s="500"/>
    </row>
    <row r="57" spans="1:19" ht="18" customHeight="1" x14ac:dyDescent="0.25">
      <c r="A57" s="468" t="s">
        <v>214</v>
      </c>
      <c r="B57" s="469"/>
      <c r="C57" s="469"/>
      <c r="D57" s="494"/>
      <c r="E57" s="494"/>
      <c r="F57" s="494"/>
      <c r="G57" s="494"/>
      <c r="H57" s="494"/>
      <c r="I57" s="490"/>
      <c r="J57" s="490"/>
      <c r="M57" s="500"/>
      <c r="O57" s="491"/>
      <c r="R57" s="491"/>
    </row>
    <row r="58" spans="1:19" ht="18" customHeight="1" x14ac:dyDescent="0.25">
      <c r="A58" s="564" t="s">
        <v>215</v>
      </c>
      <c r="B58" s="417" t="s">
        <v>166</v>
      </c>
      <c r="D58" s="520"/>
      <c r="E58" s="490">
        <f>'Link Data'!I60</f>
        <v>860</v>
      </c>
      <c r="F58" s="520"/>
      <c r="G58" s="520"/>
      <c r="H58" s="520"/>
      <c r="I58" s="520"/>
      <c r="J58" s="490">
        <f>H58-I58</f>
        <v>0</v>
      </c>
      <c r="K58" s="437">
        <f>ROUND(E58+F58+(D58/D$5)+(G58/G$5)+(J58/J$5),2)</f>
        <v>860</v>
      </c>
      <c r="L58" s="442">
        <f>VLOOKUP($B58,weights,2,FALSE)</f>
        <v>4.7530000000000001</v>
      </c>
      <c r="M58" s="552">
        <f>ROUND(K58*L58*$M$5,2)</f>
        <v>39329319.32</v>
      </c>
      <c r="N58" s="432" t="s">
        <v>168</v>
      </c>
      <c r="O58" s="495">
        <f>ROUND(IF(K58&lt;ClassSize,(1-(K58/200))*(VLOOKUP($B58,weights,3,FALSE))*K58,0),0)</f>
        <v>0</v>
      </c>
      <c r="P58" s="423" t="s">
        <v>169</v>
      </c>
      <c r="Q58" s="552">
        <f>O58+M58</f>
        <v>39329319.32</v>
      </c>
      <c r="R58" s="491"/>
      <c r="S58" s="491"/>
    </row>
    <row r="59" spans="1:19" ht="18" customHeight="1" x14ac:dyDescent="0.25">
      <c r="A59" s="564" t="s">
        <v>216</v>
      </c>
      <c r="B59" s="417" t="s">
        <v>166</v>
      </c>
      <c r="D59" s="520"/>
      <c r="E59" s="490">
        <f>'Link Data'!I61</f>
        <v>0</v>
      </c>
      <c r="F59" s="520"/>
      <c r="G59" s="520"/>
      <c r="H59" s="520"/>
      <c r="I59" s="520"/>
      <c r="J59" s="490">
        <f>H59-I59</f>
        <v>0</v>
      </c>
      <c r="K59" s="437">
        <f>ROUND(E59+F59+(D59/D$5)+(G59/G$5)+(J59/J$5),2)</f>
        <v>0</v>
      </c>
      <c r="L59" s="442">
        <f>VLOOKUP($B59,weights,2,FALSE)</f>
        <v>4.7530000000000001</v>
      </c>
      <c r="M59" s="554">
        <f>ROUND(K59*L59*$M$5,2)</f>
        <v>0</v>
      </c>
      <c r="N59" s="432" t="s">
        <v>168</v>
      </c>
      <c r="O59" s="500">
        <f>ROUND(IF(K59&lt;ClassSize,(1-(K59/200))*(VLOOKUP($B59,weights,3,FALSE))*K59,0),0)</f>
        <v>0</v>
      </c>
      <c r="P59" s="423" t="s">
        <v>169</v>
      </c>
      <c r="Q59" s="554">
        <f>O59+M59</f>
        <v>0</v>
      </c>
      <c r="R59" s="500"/>
      <c r="S59" s="500"/>
    </row>
    <row r="60" spans="1:19" ht="18" customHeight="1" x14ac:dyDescent="0.25">
      <c r="A60" s="501" t="s">
        <v>180</v>
      </c>
      <c r="B60" s="502"/>
      <c r="C60" s="502" t="s">
        <v>167</v>
      </c>
      <c r="D60" s="472"/>
      <c r="E60" s="472">
        <f>SUM(E58:E59)</f>
        <v>860</v>
      </c>
      <c r="F60" s="472"/>
      <c r="G60" s="472"/>
      <c r="H60" s="472"/>
      <c r="I60" s="472"/>
      <c r="J60" s="472">
        <f>SUM(J58:J59)</f>
        <v>0</v>
      </c>
      <c r="K60" s="473">
        <f>SUM(K58:K59)</f>
        <v>860</v>
      </c>
      <c r="L60" s="474"/>
      <c r="M60" s="475">
        <f>SUM(M58:M59)</f>
        <v>39329319.32</v>
      </c>
      <c r="N60" s="549"/>
      <c r="O60" s="558">
        <f>SUM(O58:O59)</f>
        <v>0</v>
      </c>
      <c r="P60" s="436"/>
      <c r="Q60" s="475">
        <f>SUM(Q58:Q59)</f>
        <v>39329319.32</v>
      </c>
      <c r="R60" s="477">
        <f>ROUND($Q60,0)</f>
        <v>39329319</v>
      </c>
      <c r="S60" s="477">
        <f>ROUND($Q60,0)</f>
        <v>39329319</v>
      </c>
    </row>
    <row r="61" spans="1:19" ht="18" customHeight="1" x14ac:dyDescent="0.25">
      <c r="A61" s="565"/>
      <c r="D61" s="490"/>
      <c r="E61" s="490"/>
      <c r="F61" s="490"/>
      <c r="G61" s="490"/>
      <c r="H61" s="490"/>
      <c r="I61" s="490"/>
      <c r="J61" s="490"/>
      <c r="M61" s="500"/>
      <c r="N61" s="432"/>
      <c r="O61" s="500"/>
      <c r="Q61" s="500"/>
      <c r="R61" s="500"/>
      <c r="S61" s="500"/>
    </row>
    <row r="62" spans="1:19" ht="18" customHeight="1" x14ac:dyDescent="0.25">
      <c r="A62" s="564" t="s">
        <v>217</v>
      </c>
      <c r="B62" s="417" t="s">
        <v>192</v>
      </c>
      <c r="D62" s="520"/>
      <c r="E62" s="490">
        <f>'Link Data'!I62+'Link Data'!I63</f>
        <v>411</v>
      </c>
      <c r="F62" s="490">
        <f>'Link Data'!J62+'Link Data'!J63</f>
        <v>103</v>
      </c>
      <c r="G62" s="520"/>
      <c r="H62" s="520"/>
      <c r="I62" s="520"/>
      <c r="J62" s="490">
        <f>H62-I62</f>
        <v>0</v>
      </c>
      <c r="K62" s="437">
        <f>ROUND(E62+F62+(D62/D$5)+(G62/G$5)+(J62/J$5),2)</f>
        <v>514</v>
      </c>
      <c r="L62" s="442">
        <f>VLOOKUP($B62,weights,2,FALSE)</f>
        <v>4.601</v>
      </c>
      <c r="M62" s="552">
        <f>ROUND(K62*L62*$M$5,2)</f>
        <v>22754406.73</v>
      </c>
      <c r="N62" s="432" t="s">
        <v>168</v>
      </c>
      <c r="O62" s="495">
        <f>ROUND(IF(K62&lt;ClassSize,(1-(K62/200))*(VLOOKUP($B62,weights,3,FALSE))*K62,0),0)</f>
        <v>0</v>
      </c>
      <c r="P62" s="423" t="s">
        <v>169</v>
      </c>
      <c r="Q62" s="552">
        <f>O62+M62</f>
        <v>22754406.73</v>
      </c>
      <c r="R62" s="491"/>
      <c r="S62" s="491"/>
    </row>
    <row r="63" spans="1:19" ht="18" customHeight="1" x14ac:dyDescent="0.25">
      <c r="A63" s="566" t="s">
        <v>218</v>
      </c>
      <c r="B63" s="417" t="s">
        <v>192</v>
      </c>
      <c r="D63" s="520"/>
      <c r="E63" s="490">
        <f>'Link Data'!I65</f>
        <v>0</v>
      </c>
      <c r="F63" s="490">
        <f>'Link Data'!J65</f>
        <v>4</v>
      </c>
      <c r="G63" s="520"/>
      <c r="H63" s="520"/>
      <c r="I63" s="520"/>
      <c r="J63" s="490">
        <f>H63-I63</f>
        <v>0</v>
      </c>
      <c r="K63" s="437">
        <f>ROUND(E63+F63+(D63/D$5)+(G63/G$5)+(J63/J$5),2)</f>
        <v>4</v>
      </c>
      <c r="L63" s="442">
        <f>VLOOKUP($B63,weights,2,FALSE)</f>
        <v>4.601</v>
      </c>
      <c r="M63" s="554">
        <f>ROUND(K63*L63*$M$5,2)</f>
        <v>177077.1</v>
      </c>
      <c r="N63" s="432" t="s">
        <v>168</v>
      </c>
      <c r="O63" s="500">
        <f>ROUND(IF(K63&lt;ClassSize,(1-(K63/200))*(VLOOKUP($B63,weights,3,FALSE))*K63,0),0)</f>
        <v>117600</v>
      </c>
      <c r="P63" s="423" t="s">
        <v>169</v>
      </c>
      <c r="Q63" s="554">
        <f>O63+M63</f>
        <v>294677.09999999998</v>
      </c>
      <c r="R63" s="500"/>
      <c r="S63" s="500"/>
    </row>
    <row r="64" spans="1:19" ht="18" customHeight="1" x14ac:dyDescent="0.25">
      <c r="A64" s="566" t="s">
        <v>219</v>
      </c>
      <c r="B64" s="417" t="s">
        <v>192</v>
      </c>
      <c r="D64" s="520"/>
      <c r="E64" s="490">
        <f>'Link Data'!I64</f>
        <v>0</v>
      </c>
      <c r="F64" s="520"/>
      <c r="G64" s="520"/>
      <c r="H64" s="520"/>
      <c r="I64" s="520"/>
      <c r="J64" s="490">
        <f>H64-I64</f>
        <v>0</v>
      </c>
      <c r="K64" s="437">
        <f>ROUND(E64+F64+(D64/D$5)+(G64/G$5)+(J64/J$5),2)</f>
        <v>0</v>
      </c>
      <c r="L64" s="442">
        <f>VLOOKUP($B64,weights,2,FALSE)</f>
        <v>4.601</v>
      </c>
      <c r="M64" s="554">
        <f>ROUND(K64*L64*$M$5,2)</f>
        <v>0</v>
      </c>
      <c r="N64" s="432" t="s">
        <v>168</v>
      </c>
      <c r="O64" s="500">
        <f>ROUND(IF(K64&lt;ClassSize,(1-(K64/200))*(VLOOKUP($B64,weights,3,FALSE))*K64,0),0)</f>
        <v>0</v>
      </c>
      <c r="P64" s="423" t="s">
        <v>169</v>
      </c>
      <c r="Q64" s="554">
        <f>O64+M64</f>
        <v>0</v>
      </c>
      <c r="R64" s="500"/>
      <c r="S64" s="500"/>
    </row>
    <row r="65" spans="1:19" ht="18" customHeight="1" x14ac:dyDescent="0.25">
      <c r="A65" s="501" t="s">
        <v>220</v>
      </c>
      <c r="B65" s="502"/>
      <c r="C65" s="502" t="s">
        <v>193</v>
      </c>
      <c r="D65" s="472"/>
      <c r="E65" s="472">
        <f>SUM(E62:E64)</f>
        <v>411</v>
      </c>
      <c r="F65" s="472">
        <f>SUM(F62:F64)</f>
        <v>107</v>
      </c>
      <c r="G65" s="472"/>
      <c r="H65" s="472"/>
      <c r="I65" s="472"/>
      <c r="J65" s="472">
        <f>SUM(J62:J64)</f>
        <v>0</v>
      </c>
      <c r="K65" s="473">
        <f>SUM(K62:K64)</f>
        <v>518</v>
      </c>
      <c r="L65" s="474"/>
      <c r="M65" s="475">
        <f>SUM(M62:M64)</f>
        <v>22931483.830000002</v>
      </c>
      <c r="N65" s="549"/>
      <c r="O65" s="558">
        <f>SUM(O62:O64)</f>
        <v>117600</v>
      </c>
      <c r="P65" s="436"/>
      <c r="Q65" s="475">
        <f>SUM(Q62:Q64)</f>
        <v>23049083.830000002</v>
      </c>
      <c r="R65" s="567">
        <f>ROUND($Q65,0)</f>
        <v>23049084</v>
      </c>
      <c r="S65" s="567">
        <f>ROUND($Q65,0)</f>
        <v>23049084</v>
      </c>
    </row>
    <row r="66" spans="1:19" ht="18" customHeight="1" x14ac:dyDescent="0.25">
      <c r="A66" s="568"/>
      <c r="D66" s="490"/>
      <c r="E66" s="490"/>
      <c r="F66" s="490"/>
      <c r="G66" s="490"/>
      <c r="H66" s="490"/>
      <c r="I66" s="490"/>
      <c r="J66" s="490"/>
      <c r="M66" s="500"/>
      <c r="N66" s="432"/>
      <c r="O66" s="500"/>
      <c r="Q66" s="500"/>
      <c r="R66" s="500"/>
      <c r="S66" s="500"/>
    </row>
    <row r="67" spans="1:19" ht="18" customHeight="1" x14ac:dyDescent="0.25">
      <c r="A67" s="569" t="s">
        <v>101</v>
      </c>
      <c r="B67" s="502" t="s">
        <v>170</v>
      </c>
      <c r="C67" s="502" t="s">
        <v>171</v>
      </c>
      <c r="D67" s="471"/>
      <c r="E67" s="471"/>
      <c r="F67" s="471"/>
      <c r="G67" s="472">
        <f>'Link Data'!G67+'Link Data'!G68+'Link Data'!G69</f>
        <v>1449</v>
      </c>
      <c r="H67" s="472">
        <f>'Link Data'!H67+'Link Data'!H68+'Link Data'!H69</f>
        <v>4327</v>
      </c>
      <c r="I67" s="472">
        <f>'Link Data'!K67+'Link Data'!K68+'Link Data'!K69</f>
        <v>0</v>
      </c>
      <c r="J67" s="472">
        <f>H67-I67</f>
        <v>4327</v>
      </c>
      <c r="K67" s="473">
        <f>ROUND(E67+F67+(D67/D$5)+(G67/G$5)+(J67/J$5),2)</f>
        <v>300.76</v>
      </c>
      <c r="L67" s="474">
        <f>VLOOKUP($B67,weights,2,FALSE)</f>
        <v>1.018</v>
      </c>
      <c r="M67" s="475">
        <f>ROUND(K67*L67*$M$5,2)</f>
        <v>2945900.12</v>
      </c>
      <c r="N67" s="549" t="s">
        <v>168</v>
      </c>
      <c r="O67" s="476">
        <f>ROUND(IF(K67&lt;ClassSize,(1-(K67/200))*(VLOOKUP($B67,weights,3,FALSE))*K67,0),0)</f>
        <v>0</v>
      </c>
      <c r="P67" s="436" t="s">
        <v>169</v>
      </c>
      <c r="Q67" s="475">
        <f>O67+M67</f>
        <v>2945900.12</v>
      </c>
      <c r="R67" s="477">
        <f>ROUND($Q67,0)</f>
        <v>2945900</v>
      </c>
      <c r="S67" s="477">
        <f>ROUND($Q67,0)</f>
        <v>2945900</v>
      </c>
    </row>
    <row r="68" spans="1:19" ht="18" customHeight="1" x14ac:dyDescent="0.25">
      <c r="A68" s="563"/>
      <c r="D68" s="570"/>
      <c r="E68" s="570"/>
      <c r="F68" s="570"/>
      <c r="G68" s="570"/>
      <c r="H68" s="490"/>
      <c r="I68" s="490"/>
      <c r="J68" s="490"/>
      <c r="M68" s="500"/>
      <c r="N68" s="432"/>
      <c r="O68" s="500"/>
      <c r="Q68" s="500"/>
      <c r="R68" s="500"/>
      <c r="S68" s="500"/>
    </row>
    <row r="69" spans="1:19" ht="18" customHeight="1" x14ac:dyDescent="0.25">
      <c r="A69" s="564" t="s">
        <v>221</v>
      </c>
      <c r="B69" s="417" t="s">
        <v>172</v>
      </c>
      <c r="D69" s="490">
        <f>'Link Data'!F70+'Link Data'!F71+'Link Data'!F72</f>
        <v>7816</v>
      </c>
      <c r="E69" s="520"/>
      <c r="F69" s="520"/>
      <c r="G69" s="490">
        <f>'Link Data'!G70+'Link Data'!G71+'Link Data'!G72</f>
        <v>17985</v>
      </c>
      <c r="H69" s="490">
        <f>'Link Data'!H70+'Link Data'!H71+'Link Data'!H72</f>
        <v>5352</v>
      </c>
      <c r="I69" s="490">
        <f>'Link Data'!K70+'Link Data'!K71+'Link Data'!K72</f>
        <v>0</v>
      </c>
      <c r="J69" s="490">
        <f>H69-I69</f>
        <v>5352</v>
      </c>
      <c r="K69" s="437">
        <f>ROUND(E69+F69+(D69/D$5)+(G69/G$5)+(J69/J$5),2)</f>
        <v>1307.24</v>
      </c>
      <c r="L69" s="442">
        <f>VLOOKUP($B69,weights,2,FALSE)</f>
        <v>1</v>
      </c>
      <c r="M69" s="552">
        <f>ROUND(K69*L69*$M$5,2)</f>
        <v>12577823.4</v>
      </c>
      <c r="N69" s="432" t="s">
        <v>168</v>
      </c>
      <c r="O69" s="495">
        <f>ROUND(IF(K69&lt;ClassSize,(1-(K69/200))*(VLOOKUP($B69,weights,3,FALSE))*K69,0),0)</f>
        <v>0</v>
      </c>
      <c r="P69" s="423" t="s">
        <v>169</v>
      </c>
      <c r="Q69" s="552">
        <f>O69+M69</f>
        <v>12577823.4</v>
      </c>
      <c r="R69" s="500"/>
      <c r="S69" s="500"/>
    </row>
    <row r="70" spans="1:19" ht="18" customHeight="1" x14ac:dyDescent="0.25">
      <c r="A70" s="564" t="s">
        <v>222</v>
      </c>
      <c r="B70" s="417" t="s">
        <v>172</v>
      </c>
      <c r="D70" s="490">
        <f>'Link Data'!F73</f>
        <v>0</v>
      </c>
      <c r="E70" s="520"/>
      <c r="F70" s="520"/>
      <c r="G70" s="490">
        <f>'Link Data'!G73</f>
        <v>17</v>
      </c>
      <c r="H70" s="490">
        <f>'Link Data'!H73</f>
        <v>0</v>
      </c>
      <c r="I70" s="490">
        <f>'Link Data'!K73</f>
        <v>0</v>
      </c>
      <c r="J70" s="490">
        <f>H70-I70</f>
        <v>0</v>
      </c>
      <c r="K70" s="437">
        <f>ROUND(E70+F70+(D70/D$5)+(G70/G$5)+(J70/J$5),2)</f>
        <v>0.71</v>
      </c>
      <c r="L70" s="442">
        <f>VLOOKUP($B70,weights,2,FALSE)</f>
        <v>1</v>
      </c>
      <c r="M70" s="554">
        <f>ROUND(K70*L70*$M$5,2)</f>
        <v>6831.38</v>
      </c>
      <c r="N70" s="432" t="s">
        <v>168</v>
      </c>
      <c r="O70" s="500">
        <f>ROUND(IF(K70&lt;ClassSize,(1-(K70/200))*(VLOOKUP($B70,weights,3,FALSE))*K70,0),0)</f>
        <v>14150</v>
      </c>
      <c r="P70" s="423" t="s">
        <v>169</v>
      </c>
      <c r="Q70" s="554">
        <f>O70+M70</f>
        <v>20981.38</v>
      </c>
      <c r="R70" s="500"/>
      <c r="S70" s="500"/>
    </row>
    <row r="71" spans="1:19" ht="18" customHeight="1" x14ac:dyDescent="0.25">
      <c r="A71" s="566" t="s">
        <v>223</v>
      </c>
      <c r="B71" s="417" t="s">
        <v>172</v>
      </c>
      <c r="D71" s="520"/>
      <c r="E71" s="520"/>
      <c r="F71" s="520"/>
      <c r="G71" s="490">
        <f>'Link Data'!G75</f>
        <v>0</v>
      </c>
      <c r="H71" s="520"/>
      <c r="I71" s="520"/>
      <c r="J71" s="490">
        <f>H71-I71</f>
        <v>0</v>
      </c>
      <c r="K71" s="437">
        <f>ROUND(E71+F71+(D71/D$5)+(G71/G$5)+(J71/J$5),2)</f>
        <v>0</v>
      </c>
      <c r="L71" s="442">
        <f>VLOOKUP($B71,weights,2,FALSE)</f>
        <v>1</v>
      </c>
      <c r="M71" s="554">
        <f>ROUND(K71*L71*$M$5,2)</f>
        <v>0</v>
      </c>
      <c r="N71" s="432" t="s">
        <v>168</v>
      </c>
      <c r="O71" s="500">
        <f>ROUND(IF(K71&lt;ClassSize,(1-(K71/200))*(VLOOKUP($B71,weights,3,FALSE))*K71,0),0)</f>
        <v>0</v>
      </c>
      <c r="P71" s="423" t="s">
        <v>169</v>
      </c>
      <c r="Q71" s="554">
        <f>O71+M71</f>
        <v>0</v>
      </c>
      <c r="R71" s="500"/>
      <c r="S71" s="500"/>
    </row>
    <row r="72" spans="1:19" ht="18" customHeight="1" x14ac:dyDescent="0.25">
      <c r="A72" s="564" t="s">
        <v>224</v>
      </c>
      <c r="B72" s="417" t="s">
        <v>172</v>
      </c>
      <c r="D72" s="490">
        <f>'Link Data'!F76</f>
        <v>12</v>
      </c>
      <c r="E72" s="520"/>
      <c r="F72" s="520"/>
      <c r="G72" s="490">
        <f>'Link Data'!G76</f>
        <v>285</v>
      </c>
      <c r="H72" s="490">
        <f>'Link Data'!H76</f>
        <v>12</v>
      </c>
      <c r="I72" s="490">
        <f>'Link Data'!K76</f>
        <v>0</v>
      </c>
      <c r="J72" s="490">
        <f>H72-I72</f>
        <v>12</v>
      </c>
      <c r="K72" s="437">
        <f>ROUND(E72+F72+(D72/D$5)+(G72/G$5)+(J72/J$5),2)</f>
        <v>12.94</v>
      </c>
      <c r="L72" s="442">
        <f>VLOOKUP($B72,weights,2,FALSE)</f>
        <v>1</v>
      </c>
      <c r="M72" s="554">
        <f>ROUND(K72*L72*$M$5,2)</f>
        <v>124504.33</v>
      </c>
      <c r="N72" s="432" t="s">
        <v>168</v>
      </c>
      <c r="O72" s="500">
        <f>ROUND(IF(K72&lt;ClassSize,(1-(K72/200))*(VLOOKUP($B72,weights,3,FALSE))*K72,0),0)</f>
        <v>242056</v>
      </c>
      <c r="P72" s="423" t="s">
        <v>169</v>
      </c>
      <c r="Q72" s="554">
        <f>O72+M72</f>
        <v>366560.33</v>
      </c>
      <c r="R72" s="500"/>
      <c r="S72" s="500"/>
    </row>
    <row r="73" spans="1:19" ht="18" customHeight="1" x14ac:dyDescent="0.25">
      <c r="A73" s="564" t="s">
        <v>225</v>
      </c>
      <c r="B73" s="417" t="s">
        <v>172</v>
      </c>
      <c r="D73" s="490">
        <f>'Link Data'!F74</f>
        <v>1242</v>
      </c>
      <c r="E73" s="520"/>
      <c r="F73" s="520"/>
      <c r="G73" s="490">
        <f>'Link Data'!G74</f>
        <v>0</v>
      </c>
      <c r="H73" s="520"/>
      <c r="I73" s="520"/>
      <c r="J73" s="490">
        <f>H73-I73</f>
        <v>0</v>
      </c>
      <c r="K73" s="437">
        <f>ROUND(E73+F73+(D73/D$5)+(G73/G$5)+(J73/J$5),2)</f>
        <v>41.4</v>
      </c>
      <c r="L73" s="442">
        <f>VLOOKUP($B73,weights,2,FALSE)</f>
        <v>1</v>
      </c>
      <c r="M73" s="554">
        <f>ROUND(K73*L73*$M$5,2)</f>
        <v>398336.87</v>
      </c>
      <c r="N73" s="432" t="s">
        <v>168</v>
      </c>
      <c r="O73" s="500"/>
      <c r="P73" s="423" t="s">
        <v>169</v>
      </c>
      <c r="Q73" s="554">
        <f>O73+M73</f>
        <v>398336.87</v>
      </c>
      <c r="R73" s="500"/>
      <c r="S73" s="500"/>
    </row>
    <row r="74" spans="1:19" ht="18" customHeight="1" x14ac:dyDescent="0.25">
      <c r="A74" s="501" t="s">
        <v>226</v>
      </c>
      <c r="B74" s="502"/>
      <c r="C74" s="502" t="s">
        <v>173</v>
      </c>
      <c r="D74" s="472">
        <f>SUM(D69:D73)</f>
        <v>9070</v>
      </c>
      <c r="E74" s="472"/>
      <c r="F74" s="472"/>
      <c r="G74" s="472">
        <f>SUM(G69:G73)</f>
        <v>18287</v>
      </c>
      <c r="H74" s="472">
        <f>SUM(H69:H73)</f>
        <v>5364</v>
      </c>
      <c r="I74" s="472">
        <f>SUM(I69:I73)</f>
        <v>0</v>
      </c>
      <c r="J74" s="472">
        <f>SUM(J69:J73)</f>
        <v>5364</v>
      </c>
      <c r="K74" s="473">
        <f>SUM(K69:K73)</f>
        <v>1362.2900000000002</v>
      </c>
      <c r="L74" s="474"/>
      <c r="M74" s="475">
        <f>SUM(M69:M73)</f>
        <v>13107495.98</v>
      </c>
      <c r="N74" s="549"/>
      <c r="O74" s="558">
        <f>SUM(O69:O73)</f>
        <v>256206</v>
      </c>
      <c r="P74" s="436"/>
      <c r="Q74" s="475">
        <f>SUM(Q69:Q73)</f>
        <v>13363701.98</v>
      </c>
      <c r="R74" s="477">
        <f>ROUND($Q74,0)</f>
        <v>13363702</v>
      </c>
      <c r="S74" s="477">
        <f>ROUND($Q74,0)</f>
        <v>13363702</v>
      </c>
    </row>
    <row r="75" spans="1:19" ht="18" customHeight="1" x14ac:dyDescent="0.25">
      <c r="A75" s="565"/>
      <c r="D75" s="490"/>
      <c r="E75" s="490"/>
      <c r="F75" s="490"/>
      <c r="G75" s="490"/>
      <c r="H75" s="490"/>
      <c r="I75" s="490"/>
      <c r="J75" s="490"/>
      <c r="M75" s="500"/>
      <c r="N75" s="432"/>
      <c r="O75" s="500"/>
      <c r="Q75" s="500"/>
      <c r="R75" s="500"/>
      <c r="S75" s="500"/>
    </row>
    <row r="76" spans="1:19" s="572" customFormat="1" ht="18" hidden="1" customHeight="1" x14ac:dyDescent="0.25">
      <c r="A76" s="571"/>
      <c r="D76" s="573">
        <f>(D73+D72)/D5</f>
        <v>41.8</v>
      </c>
      <c r="E76" s="573"/>
      <c r="F76" s="573"/>
      <c r="G76" s="573">
        <f>(G73+G72+G71)/G5</f>
        <v>11.875</v>
      </c>
      <c r="H76" s="573"/>
      <c r="I76" s="573"/>
      <c r="J76" s="573"/>
      <c r="K76" s="574">
        <f>G76+D76</f>
        <v>53.674999999999997</v>
      </c>
      <c r="L76" s="575"/>
      <c r="M76" s="576"/>
      <c r="N76" s="577"/>
      <c r="O76" s="578"/>
      <c r="P76" s="579"/>
      <c r="Q76" s="576"/>
      <c r="R76" s="580"/>
      <c r="S76" s="580"/>
    </row>
    <row r="77" spans="1:19" s="572" customFormat="1" ht="18" hidden="1" customHeight="1" x14ac:dyDescent="0.25">
      <c r="A77" s="571"/>
      <c r="D77" s="573">
        <f>ROUND(D76/K76*O74,0)</f>
        <v>199523</v>
      </c>
      <c r="E77" s="573"/>
      <c r="F77" s="573"/>
      <c r="G77" s="573">
        <f>ROUND(O74-D77,0)</f>
        <v>56683</v>
      </c>
      <c r="H77" s="573"/>
      <c r="I77" s="573"/>
      <c r="J77" s="573"/>
      <c r="K77" s="574"/>
      <c r="L77" s="575"/>
      <c r="M77" s="576"/>
      <c r="N77" s="577"/>
      <c r="O77" s="580">
        <f>G77+D77</f>
        <v>256206</v>
      </c>
      <c r="P77" s="579"/>
      <c r="Q77" s="576"/>
      <c r="R77" s="580"/>
      <c r="S77" s="580"/>
    </row>
    <row r="78" spans="1:19" ht="18" customHeight="1" x14ac:dyDescent="0.25">
      <c r="A78" s="565"/>
      <c r="D78" s="490"/>
      <c r="E78" s="490"/>
      <c r="F78" s="490"/>
      <c r="G78" s="490"/>
      <c r="H78" s="490"/>
      <c r="I78" s="490"/>
      <c r="J78" s="490"/>
      <c r="M78" s="500"/>
      <c r="N78" s="432"/>
      <c r="O78" s="500"/>
      <c r="Q78" s="500"/>
      <c r="R78" s="500"/>
      <c r="S78" s="500"/>
    </row>
    <row r="79" spans="1:19" ht="18" customHeight="1" x14ac:dyDescent="0.25">
      <c r="A79" s="548" t="s">
        <v>135</v>
      </c>
      <c r="B79" s="502" t="s">
        <v>181</v>
      </c>
      <c r="C79" s="502" t="s">
        <v>182</v>
      </c>
      <c r="D79" s="472">
        <f>'Link Data'!F77</f>
        <v>19363</v>
      </c>
      <c r="E79" s="471"/>
      <c r="F79" s="471"/>
      <c r="G79" s="471"/>
      <c r="H79" s="471"/>
      <c r="I79" s="471"/>
      <c r="J79" s="472">
        <f>H79-I79</f>
        <v>0</v>
      </c>
      <c r="K79" s="473">
        <f>ROUND(E79+F79+(D79/D$5)+(G79/G$5)+(J79/J$5),2)</f>
        <v>645.42999999999995</v>
      </c>
      <c r="L79" s="474">
        <f>VLOOKUP($B79,weights,2,FALSE)</f>
        <v>1.1379999999999999</v>
      </c>
      <c r="M79" s="475">
        <f>ROUND(K79*L79*$M$5,2)</f>
        <v>7067105.5</v>
      </c>
      <c r="N79" s="549" t="s">
        <v>168</v>
      </c>
      <c r="O79" s="479">
        <f>ROUND(IF((K79+K80)&lt;ClassSize,(1-((K79+K80)/200))*(VLOOKUP($B79,weights,3,FALSE))*(K79+K80),0),0)</f>
        <v>0</v>
      </c>
      <c r="P79" s="436" t="s">
        <v>169</v>
      </c>
      <c r="Q79" s="581">
        <f>O79+M79</f>
        <v>7067105.5</v>
      </c>
      <c r="R79" s="582"/>
      <c r="S79" s="583"/>
    </row>
    <row r="80" spans="1:19" ht="18" customHeight="1" x14ac:dyDescent="0.25">
      <c r="A80" s="584" t="s">
        <v>183</v>
      </c>
      <c r="B80" s="502" t="s">
        <v>184</v>
      </c>
      <c r="C80" s="502" t="s">
        <v>185</v>
      </c>
      <c r="D80" s="585"/>
      <c r="E80" s="585"/>
      <c r="F80" s="585"/>
      <c r="G80" s="503">
        <f>'Link Data'!G77</f>
        <v>1490</v>
      </c>
      <c r="H80" s="503">
        <f>'Link Data'!H77</f>
        <v>3745</v>
      </c>
      <c r="I80" s="503">
        <f>'Link Data'!K77</f>
        <v>0</v>
      </c>
      <c r="J80" s="503">
        <f>H80-I80</f>
        <v>3745</v>
      </c>
      <c r="K80" s="473">
        <f>ROUND(E80+F80+(D80/D$5)+(G80/G$5)+(J80/J$5),2)</f>
        <v>270.14</v>
      </c>
      <c r="L80" s="505">
        <f>VLOOKUP($B80,weights,2,FALSE)</f>
        <v>1.1379999999999999</v>
      </c>
      <c r="M80" s="478">
        <f>ROUND(K80*L80*$M$5,2)</f>
        <v>2957885.25</v>
      </c>
      <c r="N80" s="432" t="s">
        <v>168</v>
      </c>
      <c r="O80" s="498"/>
      <c r="P80" s="509" t="s">
        <v>169</v>
      </c>
      <c r="Q80" s="541">
        <f>O80+M80</f>
        <v>2957885.25</v>
      </c>
      <c r="R80" s="586"/>
      <c r="S80" s="587"/>
    </row>
    <row r="81" spans="1:19" ht="18" customHeight="1" thickBot="1" x14ac:dyDescent="0.3">
      <c r="A81" s="564" t="s">
        <v>227</v>
      </c>
      <c r="B81" s="502" t="s">
        <v>181</v>
      </c>
      <c r="C81" s="502" t="s">
        <v>182</v>
      </c>
      <c r="D81" s="503"/>
      <c r="E81" s="585"/>
      <c r="F81" s="585"/>
      <c r="G81" s="503">
        <f>'Link Data'!G78</f>
        <v>74</v>
      </c>
      <c r="H81" s="585"/>
      <c r="I81" s="585"/>
      <c r="J81" s="503"/>
      <c r="K81" s="588">
        <f>ROUND(E81+F81+(D81/D$5)+(G81/G$5)+(J81/J$5),2)</f>
        <v>3.08</v>
      </c>
      <c r="L81" s="505">
        <f>VLOOKUP($B81,weights,2,FALSE)</f>
        <v>1.1379999999999999</v>
      </c>
      <c r="M81" s="475">
        <f>ROUND(K81*L81*$M$5,2)</f>
        <v>33724.32</v>
      </c>
      <c r="N81" s="432" t="s">
        <v>168</v>
      </c>
      <c r="O81" s="498">
        <f>ROUND(IF(K81&lt;ClassSize,(1-(K81/200))*(VLOOKUP($B81,weights,3,FALSE))*K81,0),0)</f>
        <v>60651</v>
      </c>
      <c r="P81" s="509" t="s">
        <v>169</v>
      </c>
      <c r="Q81" s="541">
        <f>O81+M81</f>
        <v>94375.32</v>
      </c>
      <c r="R81" s="567">
        <f>ROUND($Q80+$Q79+$Q$81,0)</f>
        <v>10119366</v>
      </c>
      <c r="S81" s="567">
        <f>ROUND($Q80+$Q79+$Q$81,0)</f>
        <v>10119366</v>
      </c>
    </row>
    <row r="82" spans="1:19" ht="18" customHeight="1" thickBot="1" x14ac:dyDescent="0.3">
      <c r="A82" s="483" t="s">
        <v>228</v>
      </c>
      <c r="B82" s="417" t="s">
        <v>175</v>
      </c>
      <c r="C82" s="417" t="s">
        <v>229</v>
      </c>
      <c r="D82" s="472">
        <f t="shared" ref="D82:J82" si="23">D80+D79+D74+D67+D65+D60+D81</f>
        <v>28433</v>
      </c>
      <c r="E82" s="472">
        <f t="shared" si="23"/>
        <v>1271</v>
      </c>
      <c r="F82" s="472">
        <f t="shared" si="23"/>
        <v>107</v>
      </c>
      <c r="G82" s="472">
        <f t="shared" si="23"/>
        <v>21300</v>
      </c>
      <c r="H82" s="472">
        <f t="shared" si="23"/>
        <v>13436</v>
      </c>
      <c r="I82" s="472">
        <f t="shared" si="23"/>
        <v>0</v>
      </c>
      <c r="J82" s="472">
        <f t="shared" si="23"/>
        <v>13436</v>
      </c>
      <c r="K82" s="560">
        <f>K80+K79+K74+K67+K65+K60+K81</f>
        <v>3959.7</v>
      </c>
      <c r="L82" s="485"/>
      <c r="M82" s="562">
        <f>M80+M79+M74+M67+M65+M60+M81</f>
        <v>88372914.319999993</v>
      </c>
      <c r="N82" s="432"/>
      <c r="O82" s="521">
        <f>O80+O79+O74+O67+O65+O60+O81</f>
        <v>434457</v>
      </c>
      <c r="P82" s="436" t="s">
        <v>169</v>
      </c>
      <c r="Q82" s="506">
        <f>Q80+Q79+Q74+Q67+Q65+Q81+Q60</f>
        <v>88807371.320000008</v>
      </c>
      <c r="R82" s="523">
        <f>SUM(R58:R81)</f>
        <v>88807371</v>
      </c>
      <c r="S82" s="523">
        <f>SUM(S58:S81)</f>
        <v>88807371</v>
      </c>
    </row>
    <row r="83" spans="1:19" ht="18" customHeight="1" x14ac:dyDescent="0.25">
      <c r="A83" s="589"/>
      <c r="D83" s="490"/>
      <c r="E83" s="490"/>
      <c r="F83" s="490"/>
      <c r="G83" s="490"/>
      <c r="H83" s="490"/>
      <c r="I83" s="490"/>
      <c r="J83" s="490"/>
      <c r="K83" s="437" t="str">
        <f>IF(K82='Link Data'!M80,"","Error")</f>
        <v/>
      </c>
      <c r="L83" s="590"/>
      <c r="M83" s="591"/>
      <c r="N83" s="592"/>
      <c r="O83" s="593"/>
      <c r="P83" s="594"/>
      <c r="Q83" s="563"/>
      <c r="R83" s="591"/>
      <c r="S83" s="591"/>
    </row>
    <row r="84" spans="1:19" ht="18" customHeight="1" x14ac:dyDescent="0.25">
      <c r="A84" s="589"/>
      <c r="D84" s="492"/>
      <c r="E84" s="490"/>
      <c r="F84" s="490"/>
      <c r="G84" s="492"/>
      <c r="H84" s="492"/>
      <c r="J84" s="492"/>
      <c r="K84" s="493"/>
      <c r="L84" s="590"/>
      <c r="M84" s="591"/>
      <c r="N84" s="592"/>
      <c r="O84" s="593"/>
      <c r="P84" s="594"/>
      <c r="Q84" s="595"/>
      <c r="R84" s="591"/>
      <c r="S84" s="591"/>
    </row>
    <row r="85" spans="1:19" ht="18" customHeight="1" thickBot="1" x14ac:dyDescent="0.3">
      <c r="A85" s="596" t="s">
        <v>230</v>
      </c>
      <c r="B85" s="469"/>
      <c r="C85" s="469"/>
      <c r="D85" s="494"/>
      <c r="E85" s="494"/>
      <c r="F85" s="494"/>
      <c r="G85" s="494"/>
      <c r="H85" s="490"/>
      <c r="I85" s="490"/>
      <c r="J85" s="490"/>
      <c r="M85" s="491"/>
      <c r="Q85" s="495"/>
    </row>
    <row r="86" spans="1:19" ht="18" customHeight="1" thickBot="1" x14ac:dyDescent="0.25">
      <c r="A86" s="597" t="s">
        <v>100</v>
      </c>
      <c r="B86" s="502" t="s">
        <v>172</v>
      </c>
      <c r="C86" s="502" t="s">
        <v>173</v>
      </c>
      <c r="D86" s="472">
        <f>'Link Data'!F84</f>
        <v>10866</v>
      </c>
      <c r="E86" s="471"/>
      <c r="F86" s="471"/>
      <c r="G86" s="503">
        <f>'Link Data'!G84</f>
        <v>726</v>
      </c>
      <c r="H86" s="471"/>
      <c r="I86" s="471"/>
      <c r="J86" s="472">
        <f>H86-I86</f>
        <v>0</v>
      </c>
      <c r="K86" s="598">
        <f>ROUND(E86+F86+(D86/D$5)+(G86/G$5)+(J86/J$5),2)</f>
        <v>392.45</v>
      </c>
      <c r="L86" s="485">
        <f>VLOOKUP($B86,weights,2,FALSE)</f>
        <v>1</v>
      </c>
      <c r="M86" s="599">
        <f>ROUND(K86*L86*$M$5,2)</f>
        <v>3776021.84</v>
      </c>
      <c r="N86" s="600" t="s">
        <v>168</v>
      </c>
      <c r="O86" s="476">
        <f>ROUND(IF(K86&lt;ClassSize,(1-(K86/200))*(VLOOKUP($B86,weights,3,FALSE))*K86,0),0)</f>
        <v>0</v>
      </c>
      <c r="P86" s="601" t="s">
        <v>169</v>
      </c>
      <c r="Q86" s="497">
        <f>O86+M86</f>
        <v>3776021.84</v>
      </c>
      <c r="R86" s="477">
        <f>ROUND($Q86,0)</f>
        <v>3776022</v>
      </c>
      <c r="S86" s="477">
        <f>ROUND($Q86,0)</f>
        <v>3776022</v>
      </c>
    </row>
    <row r="87" spans="1:19" ht="18" customHeight="1" thickBot="1" x14ac:dyDescent="0.3">
      <c r="A87" s="483" t="s">
        <v>231</v>
      </c>
      <c r="B87" s="417" t="s">
        <v>175</v>
      </c>
      <c r="C87" s="417" t="s">
        <v>232</v>
      </c>
      <c r="D87" s="472">
        <f t="shared" ref="D87:G87" si="24">SUM(D86)</f>
        <v>10866</v>
      </c>
      <c r="E87" s="471"/>
      <c r="F87" s="471"/>
      <c r="G87" s="472">
        <f t="shared" si="24"/>
        <v>726</v>
      </c>
      <c r="H87" s="471"/>
      <c r="I87" s="471"/>
      <c r="J87" s="472">
        <f t="shared" ref="J87:K87" si="25">SUM(J86)</f>
        <v>0</v>
      </c>
      <c r="K87" s="560">
        <f t="shared" si="25"/>
        <v>392.45</v>
      </c>
      <c r="L87" s="485"/>
      <c r="M87" s="562">
        <f>SUM(M86)</f>
        <v>3776021.84</v>
      </c>
      <c r="N87" s="432"/>
      <c r="O87" s="521">
        <f>SUM(O86)</f>
        <v>0</v>
      </c>
      <c r="P87" s="436"/>
      <c r="Q87" s="488">
        <f>SUM(Q86)</f>
        <v>3776021.84</v>
      </c>
      <c r="R87" s="489">
        <f>SUM(R86)</f>
        <v>3776022</v>
      </c>
      <c r="S87" s="489">
        <f>SUM(S86)</f>
        <v>3776022</v>
      </c>
    </row>
    <row r="88" spans="1:19" ht="18" customHeight="1" x14ac:dyDescent="0.25">
      <c r="A88" s="589"/>
      <c r="D88" s="490"/>
      <c r="E88" s="490"/>
      <c r="F88" s="490"/>
      <c r="G88" s="490"/>
      <c r="H88" s="490"/>
      <c r="I88" s="490"/>
      <c r="J88" s="490"/>
      <c r="K88" s="437" t="str">
        <f>IF(K87='Link Data'!M86,"","Error")</f>
        <v/>
      </c>
      <c r="L88" s="590"/>
      <c r="M88" s="591"/>
      <c r="N88" s="592"/>
      <c r="O88" s="593"/>
      <c r="P88" s="594"/>
      <c r="Q88" s="563"/>
      <c r="R88" s="591"/>
      <c r="S88" s="591"/>
    </row>
    <row r="89" spans="1:19" ht="18" customHeight="1" x14ac:dyDescent="0.25">
      <c r="A89" s="589"/>
      <c r="D89" s="492"/>
      <c r="E89" s="490"/>
      <c r="F89" s="490"/>
      <c r="G89" s="492"/>
      <c r="H89" s="492"/>
      <c r="J89" s="492"/>
      <c r="K89" s="493"/>
      <c r="L89" s="590"/>
      <c r="M89" s="591"/>
      <c r="N89" s="592"/>
      <c r="O89" s="593"/>
      <c r="P89" s="594"/>
      <c r="Q89" s="563"/>
      <c r="R89" s="591"/>
      <c r="S89" s="591"/>
    </row>
    <row r="90" spans="1:19" ht="18" customHeight="1" thickBot="1" x14ac:dyDescent="0.3">
      <c r="A90" s="602" t="s">
        <v>233</v>
      </c>
      <c r="B90" s="469"/>
      <c r="C90" s="469"/>
      <c r="D90" s="494"/>
      <c r="E90" s="494"/>
      <c r="F90" s="494"/>
      <c r="G90" s="494"/>
      <c r="H90" s="490"/>
      <c r="I90" s="490"/>
      <c r="J90" s="490"/>
      <c r="K90" s="493"/>
      <c r="L90" s="590"/>
      <c r="M90" s="591"/>
      <c r="N90" s="592"/>
      <c r="O90" s="593"/>
      <c r="P90" s="594"/>
      <c r="Q90" s="563"/>
      <c r="R90" s="591"/>
      <c r="S90" s="591"/>
    </row>
    <row r="91" spans="1:19" ht="18" customHeight="1" thickBot="1" x14ac:dyDescent="0.25">
      <c r="A91" s="597" t="s">
        <v>101</v>
      </c>
      <c r="B91" s="502" t="s">
        <v>170</v>
      </c>
      <c r="C91" s="502" t="s">
        <v>171</v>
      </c>
      <c r="D91" s="471"/>
      <c r="E91" s="471"/>
      <c r="F91" s="471"/>
      <c r="G91" s="503">
        <f>'Link Data'!G90</f>
        <v>226</v>
      </c>
      <c r="H91" s="471"/>
      <c r="I91" s="471"/>
      <c r="J91" s="472">
        <f>H91-I91</f>
        <v>0</v>
      </c>
      <c r="K91" s="598">
        <f>ROUND(E91+F91+(D91/D$5)+(G91/G$5)+(J91/J$5),2)</f>
        <v>9.42</v>
      </c>
      <c r="L91" s="485">
        <f>VLOOKUP($B91,weights,2,FALSE)</f>
        <v>1.018</v>
      </c>
      <c r="M91" s="599">
        <f>ROUND(K91*L91*$M$5,2)</f>
        <v>92267.520000000004</v>
      </c>
      <c r="N91" s="600" t="s">
        <v>168</v>
      </c>
      <c r="O91" s="476">
        <f>ROUND(IF(K91&lt;ClassSize,(1-(K91/200))*(VLOOKUP($B91,weights,3,FALSE))*K91,0),0)</f>
        <v>179526</v>
      </c>
      <c r="P91" s="601" t="s">
        <v>169</v>
      </c>
      <c r="Q91" s="599">
        <f>O91+M91</f>
        <v>271793.52</v>
      </c>
      <c r="R91" s="477">
        <f>ROUND($Q91,0)</f>
        <v>271794</v>
      </c>
      <c r="S91" s="477">
        <f>ROUND($Q91,0)</f>
        <v>271794</v>
      </c>
    </row>
    <row r="92" spans="1:19" ht="18" customHeight="1" thickBot="1" x14ac:dyDescent="0.25">
      <c r="A92" s="597" t="s">
        <v>234</v>
      </c>
      <c r="B92" s="502" t="s">
        <v>187</v>
      </c>
      <c r="C92" s="502" t="s">
        <v>188</v>
      </c>
      <c r="D92" s="471"/>
      <c r="E92" s="471"/>
      <c r="F92" s="471"/>
      <c r="G92" s="503">
        <f>'Link Data'!G91</f>
        <v>1419</v>
      </c>
      <c r="H92" s="471"/>
      <c r="I92" s="471"/>
      <c r="J92" s="472">
        <f>H92-I92</f>
        <v>0</v>
      </c>
      <c r="K92" s="473">
        <f>ROUND(E92+F92+(D92/D$5)+(G92/G$5)+(J92/J$5),2)</f>
        <v>59.13</v>
      </c>
      <c r="L92" s="485">
        <f>VLOOKUP($B92,weights,2,FALSE)</f>
        <v>1.7210000000000001</v>
      </c>
      <c r="M92" s="599">
        <f>ROUND(K92*L92*$M$5,2)</f>
        <v>979126.75</v>
      </c>
      <c r="N92" s="600" t="s">
        <v>168</v>
      </c>
      <c r="O92" s="476">
        <f>ROUND(IF(K92&lt;ClassSize,(1-(K92/200))*(VLOOKUP($B92,weights,3,FALSE))*K92,0),0)</f>
        <v>832964</v>
      </c>
      <c r="P92" s="601" t="s">
        <v>169</v>
      </c>
      <c r="Q92" s="599">
        <f>O92+M92</f>
        <v>1812090.75</v>
      </c>
      <c r="R92" s="477">
        <f>ROUND($Q92,0)</f>
        <v>1812091</v>
      </c>
      <c r="S92" s="477">
        <f>ROUND($Q92,0)</f>
        <v>1812091</v>
      </c>
    </row>
    <row r="93" spans="1:19" ht="18" customHeight="1" thickBot="1" x14ac:dyDescent="0.3">
      <c r="A93" s="603" t="s">
        <v>235</v>
      </c>
      <c r="B93" s="417" t="s">
        <v>175</v>
      </c>
      <c r="C93" s="417" t="s">
        <v>236</v>
      </c>
      <c r="D93" s="471"/>
      <c r="E93" s="471"/>
      <c r="F93" s="471"/>
      <c r="G93" s="472">
        <f>SUM(G91:G92)</f>
        <v>1645</v>
      </c>
      <c r="H93" s="471"/>
      <c r="I93" s="471"/>
      <c r="J93" s="472">
        <f>H93-I93</f>
        <v>0</v>
      </c>
      <c r="K93" s="560">
        <f>SUM(K91:K92)</f>
        <v>68.55</v>
      </c>
      <c r="L93" s="485"/>
      <c r="M93" s="562">
        <f>SUM(M91:M92)</f>
        <v>1071394.27</v>
      </c>
      <c r="N93" s="476" t="s">
        <v>168</v>
      </c>
      <c r="O93" s="521">
        <f>SUM(O91:O92)</f>
        <v>1012490</v>
      </c>
      <c r="P93" s="436" t="s">
        <v>169</v>
      </c>
      <c r="Q93" s="604">
        <f>SUM(Q91:Q92)</f>
        <v>2083884.27</v>
      </c>
      <c r="R93" s="489">
        <f t="shared" ref="R93:S93" si="26">SUM(R91:R92)</f>
        <v>2083885</v>
      </c>
      <c r="S93" s="489">
        <f t="shared" si="26"/>
        <v>2083885</v>
      </c>
    </row>
    <row r="94" spans="1:19" ht="18" customHeight="1" x14ac:dyDescent="0.25">
      <c r="A94" s="605"/>
      <c r="D94" s="490"/>
      <c r="E94" s="490"/>
      <c r="F94" s="490"/>
      <c r="G94" s="490"/>
      <c r="H94" s="490"/>
      <c r="I94" s="490"/>
      <c r="J94" s="490"/>
      <c r="K94" s="437" t="str">
        <f>IF(K93='Link Data'!M93,"","Error")</f>
        <v/>
      </c>
      <c r="M94" s="552"/>
      <c r="N94" s="495"/>
      <c r="O94" s="500"/>
      <c r="Q94" s="552"/>
      <c r="R94" s="495"/>
      <c r="S94" s="495"/>
    </row>
    <row r="95" spans="1:19" ht="18" customHeight="1" x14ac:dyDescent="0.25">
      <c r="D95" s="490"/>
      <c r="E95" s="490"/>
      <c r="F95" s="490"/>
      <c r="G95" s="490"/>
      <c r="H95" s="490"/>
      <c r="I95" s="490"/>
      <c r="J95" s="490"/>
      <c r="M95" s="491"/>
    </row>
    <row r="96" spans="1:19" ht="18" customHeight="1" x14ac:dyDescent="0.25">
      <c r="A96" s="468" t="s">
        <v>237</v>
      </c>
      <c r="B96" s="469"/>
      <c r="C96" s="469"/>
      <c r="D96" s="494"/>
      <c r="E96" s="494"/>
      <c r="F96" s="494"/>
      <c r="G96" s="494"/>
      <c r="H96" s="494"/>
      <c r="I96" s="490"/>
      <c r="J96" s="490"/>
      <c r="M96" s="491"/>
    </row>
    <row r="97" spans="1:19" ht="18" customHeight="1" x14ac:dyDescent="0.2">
      <c r="A97" s="606" t="s">
        <v>238</v>
      </c>
      <c r="B97" s="417" t="s">
        <v>166</v>
      </c>
      <c r="D97" s="520"/>
      <c r="E97" s="490">
        <f>'Link Data'!I97</f>
        <v>220</v>
      </c>
      <c r="F97" s="520"/>
      <c r="G97" s="520"/>
      <c r="H97" s="520"/>
      <c r="I97" s="520"/>
      <c r="J97" s="490">
        <f>H97-I97</f>
        <v>0</v>
      </c>
      <c r="K97" s="437">
        <f>ROUND(E97+F97+(D97/D$5)+(G97/G$5)+(J97/J$5),2)</f>
        <v>220</v>
      </c>
      <c r="L97" s="442">
        <f>VLOOKUP($B97,weights,2,FALSE)</f>
        <v>4.7530000000000001</v>
      </c>
      <c r="M97" s="552">
        <f>ROUND(K97*L97*$M$5,2)</f>
        <v>10060988.66</v>
      </c>
      <c r="N97" s="495" t="s">
        <v>168</v>
      </c>
      <c r="O97" s="495">
        <f>ROUND(IF(K97&lt;ClassSize,(1-(K97/200))*(VLOOKUP($B97,weights,3,FALSE))*K97,0),0)</f>
        <v>0</v>
      </c>
      <c r="P97" s="423" t="s">
        <v>169</v>
      </c>
      <c r="Q97" s="552">
        <f>O97+M97</f>
        <v>10060988.66</v>
      </c>
      <c r="R97" s="491"/>
      <c r="S97" s="491"/>
    </row>
    <row r="98" spans="1:19" ht="18" customHeight="1" x14ac:dyDescent="0.2">
      <c r="A98" s="564" t="s">
        <v>239</v>
      </c>
      <c r="B98" s="417" t="s">
        <v>166</v>
      </c>
      <c r="D98" s="520"/>
      <c r="E98" s="490">
        <f>'Link Data'!I98</f>
        <v>118</v>
      </c>
      <c r="F98" s="520"/>
      <c r="G98" s="520"/>
      <c r="H98" s="520"/>
      <c r="I98" s="520"/>
      <c r="J98" s="490">
        <f>H98-I98</f>
        <v>0</v>
      </c>
      <c r="K98" s="437">
        <f>ROUND(E98+F98+(D98/D$5)+(G98/G$5)+(J98/J$5),2)</f>
        <v>118</v>
      </c>
      <c r="L98" s="442">
        <f>VLOOKUP($B98,weights,2,FALSE)</f>
        <v>4.7530000000000001</v>
      </c>
      <c r="M98" s="554">
        <f>ROUND(K98*L98*$M$5,2)</f>
        <v>5396348.46</v>
      </c>
      <c r="N98" s="495" t="s">
        <v>168</v>
      </c>
      <c r="O98" s="500">
        <f>ROUND(IF(K98&lt;ClassSize,(1-(K98/200))*(VLOOKUP($B98,weights,3,FALSE))*K98,0),0)</f>
        <v>1451400</v>
      </c>
      <c r="P98" s="423" t="s">
        <v>169</v>
      </c>
      <c r="Q98" s="554">
        <f>O98+M98</f>
        <v>6847748.46</v>
      </c>
      <c r="R98" s="491"/>
      <c r="S98" s="491"/>
    </row>
    <row r="99" spans="1:19" ht="18" customHeight="1" x14ac:dyDescent="0.2">
      <c r="A99" s="564" t="s">
        <v>240</v>
      </c>
      <c r="B99" s="417" t="s">
        <v>166</v>
      </c>
      <c r="D99" s="520"/>
      <c r="E99" s="490">
        <f>'Link Data'!I99</f>
        <v>134</v>
      </c>
      <c r="F99" s="520"/>
      <c r="G99" s="520"/>
      <c r="H99" s="520"/>
      <c r="I99" s="520"/>
      <c r="J99" s="490">
        <f>H99-I99</f>
        <v>0</v>
      </c>
      <c r="K99" s="437">
        <f>ROUND(E99+F99+(D99/D$5)+(G99/G$5)+(J99/J$5),2)</f>
        <v>134</v>
      </c>
      <c r="L99" s="442">
        <f>VLOOKUP($B99,weights,2,FALSE)</f>
        <v>4.7530000000000001</v>
      </c>
      <c r="M99" s="554">
        <f>ROUND(K99*L99*$M$5,2)</f>
        <v>6128056.7300000004</v>
      </c>
      <c r="N99" s="495" t="s">
        <v>168</v>
      </c>
      <c r="O99" s="500">
        <f>ROUND(IF(K99&lt;ClassSize,(1-(K99/200))*(VLOOKUP($B99,weights,3,FALSE))*K99,0),0)</f>
        <v>1326600</v>
      </c>
      <c r="P99" s="423" t="s">
        <v>169</v>
      </c>
      <c r="Q99" s="554">
        <f>O99+M99</f>
        <v>7454656.7300000004</v>
      </c>
      <c r="R99" s="491"/>
      <c r="S99" s="491"/>
    </row>
    <row r="100" spans="1:19" ht="18" customHeight="1" x14ac:dyDescent="0.2">
      <c r="A100" s="606" t="s">
        <v>241</v>
      </c>
      <c r="B100" s="417" t="s">
        <v>166</v>
      </c>
      <c r="D100" s="520"/>
      <c r="E100" s="490">
        <f>'Link Data'!I100</f>
        <v>22</v>
      </c>
      <c r="F100" s="520"/>
      <c r="G100" s="520"/>
      <c r="H100" s="520"/>
      <c r="I100" s="520"/>
      <c r="J100" s="490">
        <f>H100-I100</f>
        <v>0</v>
      </c>
      <c r="K100" s="437">
        <f>ROUND(E100+F100+(D100/D$5)+(G100/G$5)+(J100/J$5),2)</f>
        <v>22</v>
      </c>
      <c r="L100" s="442">
        <f>VLOOKUP($B100,weights,2,FALSE)</f>
        <v>4.7530000000000001</v>
      </c>
      <c r="M100" s="554">
        <f>ROUND(K100*L100*$M$5,2)</f>
        <v>1006098.87</v>
      </c>
      <c r="N100" s="500" t="s">
        <v>168</v>
      </c>
      <c r="O100" s="500">
        <f>ROUND(IF(K100&lt;ClassSize,(1-(K100/200))*(VLOOKUP($B100,weights,3,FALSE))*K100,0),0)</f>
        <v>587400</v>
      </c>
      <c r="P100" s="423" t="s">
        <v>169</v>
      </c>
      <c r="Q100" s="554">
        <f>O100+M100</f>
        <v>1593498.87</v>
      </c>
      <c r="R100" s="500"/>
      <c r="S100" s="500"/>
    </row>
    <row r="101" spans="1:19" ht="18" customHeight="1" x14ac:dyDescent="0.2">
      <c r="A101" s="606" t="s">
        <v>242</v>
      </c>
      <c r="B101" s="417" t="s">
        <v>166</v>
      </c>
      <c r="D101" s="520"/>
      <c r="E101" s="490">
        <f>'Link Data'!I101</f>
        <v>88</v>
      </c>
      <c r="F101" s="520"/>
      <c r="G101" s="520"/>
      <c r="H101" s="520"/>
      <c r="I101" s="520"/>
      <c r="J101" s="490">
        <f>H101-I101</f>
        <v>0</v>
      </c>
      <c r="K101" s="437">
        <f>ROUND(E101+F101+(D101/D$5)+(G101/G$5)+(J101/J$5),2)</f>
        <v>88</v>
      </c>
      <c r="L101" s="442">
        <f>VLOOKUP($B101,weights,2,FALSE)</f>
        <v>4.7530000000000001</v>
      </c>
      <c r="M101" s="554">
        <f>ROUND(K101*L101*$M$5,2)</f>
        <v>4024395.47</v>
      </c>
      <c r="N101" s="500" t="s">
        <v>168</v>
      </c>
      <c r="O101" s="500">
        <f>ROUND(IF(K101&lt;ClassSize,(1-(K101/200))*(VLOOKUP($B101,weights,3,FALSE))*K101,0),0)</f>
        <v>1478400</v>
      </c>
      <c r="P101" s="423" t="s">
        <v>169</v>
      </c>
      <c r="Q101" s="554">
        <f>O101+M101</f>
        <v>5502795.4700000007</v>
      </c>
      <c r="R101" s="500"/>
      <c r="S101" s="500"/>
    </row>
    <row r="102" spans="1:19" ht="18" customHeight="1" x14ac:dyDescent="0.25">
      <c r="A102" s="607" t="s">
        <v>180</v>
      </c>
      <c r="B102" s="502"/>
      <c r="C102" s="502" t="s">
        <v>167</v>
      </c>
      <c r="D102" s="471"/>
      <c r="E102" s="472">
        <f>SUM(E97:E101)</f>
        <v>582</v>
      </c>
      <c r="F102" s="471"/>
      <c r="G102" s="471"/>
      <c r="H102" s="471"/>
      <c r="I102" s="471"/>
      <c r="J102" s="472">
        <f>SUM(J97:J101)</f>
        <v>0</v>
      </c>
      <c r="K102" s="473">
        <f>SUM(K97:K101)</f>
        <v>582</v>
      </c>
      <c r="L102" s="474"/>
      <c r="M102" s="475">
        <f>SUM(M97:M101)</f>
        <v>26615888.190000001</v>
      </c>
      <c r="N102" s="498"/>
      <c r="O102" s="479">
        <f>SUM(O97:O101)</f>
        <v>4843800</v>
      </c>
      <c r="P102" s="436"/>
      <c r="Q102" s="475">
        <f>SUM(Q97:Q101)</f>
        <v>31459688.190000005</v>
      </c>
      <c r="R102" s="477">
        <f>ROUND($Q102,0)</f>
        <v>31459688</v>
      </c>
      <c r="S102" s="477">
        <f>ROUND($Q102,0)</f>
        <v>31459688</v>
      </c>
    </row>
    <row r="103" spans="1:19" ht="18" customHeight="1" x14ac:dyDescent="0.2">
      <c r="A103" s="606"/>
      <c r="B103" s="563"/>
      <c r="C103" s="563"/>
      <c r="D103" s="570"/>
      <c r="E103" s="570"/>
      <c r="F103" s="570"/>
      <c r="G103" s="570"/>
      <c r="H103" s="490"/>
      <c r="I103" s="490"/>
      <c r="J103" s="490"/>
      <c r="M103" s="500"/>
      <c r="N103" s="500"/>
      <c r="O103" s="500"/>
      <c r="Q103" s="500"/>
      <c r="R103" s="500"/>
      <c r="S103" s="500"/>
    </row>
    <row r="104" spans="1:19" ht="18" customHeight="1" x14ac:dyDescent="0.25">
      <c r="A104" s="608" t="s">
        <v>243</v>
      </c>
      <c r="B104" s="502" t="s">
        <v>192</v>
      </c>
      <c r="C104" s="502" t="s">
        <v>193</v>
      </c>
      <c r="D104" s="471"/>
      <c r="E104" s="472">
        <f>'Link Data'!I102</f>
        <v>416</v>
      </c>
      <c r="F104" s="472">
        <f>'Link Data'!J103</f>
        <v>91</v>
      </c>
      <c r="G104" s="471"/>
      <c r="H104" s="471"/>
      <c r="I104" s="471"/>
      <c r="J104" s="472">
        <f>H104-I104</f>
        <v>0</v>
      </c>
      <c r="K104" s="473">
        <f>ROUND(E104+F104+(D104/D$5)+(G104/G$5)+(J104/J$5),2)</f>
        <v>507</v>
      </c>
      <c r="L104" s="609">
        <f>VLOOKUP($B104,weights,2,FALSE)</f>
        <v>4.601</v>
      </c>
      <c r="M104" s="475">
        <f>ROUND(K104*L104*$M$5,2)</f>
        <v>22444521.809999999</v>
      </c>
      <c r="N104" s="498" t="s">
        <v>168</v>
      </c>
      <c r="O104" s="476">
        <f>ROUND(IF(K104&lt;ClassSize,(1-(K104/200))*(VLOOKUP($B104,weights,3,FALSE))*K104,0),0)</f>
        <v>0</v>
      </c>
      <c r="P104" s="436" t="s">
        <v>169</v>
      </c>
      <c r="Q104" s="610">
        <f>O104+M104</f>
        <v>22444521.809999999</v>
      </c>
      <c r="R104" s="477">
        <f>ROUND($Q104,0)</f>
        <v>22444522</v>
      </c>
      <c r="S104" s="477">
        <f>ROUND($Q104,0)</f>
        <v>22444522</v>
      </c>
    </row>
    <row r="105" spans="1:19" ht="18" customHeight="1" x14ac:dyDescent="0.2">
      <c r="A105" s="606"/>
      <c r="B105" s="563"/>
      <c r="C105" s="563"/>
      <c r="D105" s="570"/>
      <c r="E105" s="570"/>
      <c r="F105" s="570"/>
      <c r="G105" s="570"/>
      <c r="H105" s="570"/>
      <c r="I105" s="570"/>
      <c r="J105" s="570"/>
      <c r="M105" s="500"/>
      <c r="N105" s="500"/>
      <c r="O105" s="500"/>
      <c r="Q105" s="500"/>
      <c r="R105" s="500"/>
      <c r="S105" s="500"/>
    </row>
    <row r="106" spans="1:19" ht="18" customHeight="1" x14ac:dyDescent="0.2">
      <c r="A106" s="606" t="s">
        <v>244</v>
      </c>
      <c r="B106" s="417" t="s">
        <v>170</v>
      </c>
      <c r="D106" s="520"/>
      <c r="E106" s="520"/>
      <c r="F106" s="520"/>
      <c r="G106" s="490">
        <f>'Link Data'!G104+'Link Data'!G105+'Link Data'!G106</f>
        <v>867</v>
      </c>
      <c r="H106" s="490">
        <f>'Link Data'!H104+'Link Data'!H105+'Link Data'!H106</f>
        <v>750</v>
      </c>
      <c r="I106" s="490">
        <f>'Link Data'!I104+'Link Data'!K105+'Link Data'!I106</f>
        <v>23</v>
      </c>
      <c r="J106" s="490">
        <f>H106-I106</f>
        <v>727</v>
      </c>
      <c r="K106" s="437">
        <f t="shared" ref="K106:K111" si="27">ROUND(E106+F106+(D106/D$5)+(G106/G$5)+(J106/J$5),2)</f>
        <v>76.510000000000005</v>
      </c>
      <c r="L106" s="442">
        <f t="shared" ref="L106:L111" si="28">VLOOKUP($B106,weights,2,FALSE)</f>
        <v>1.018</v>
      </c>
      <c r="M106" s="552">
        <f>ROUND(K106*L106*$M$5,2)</f>
        <v>749404.24</v>
      </c>
      <c r="N106" s="500" t="s">
        <v>168</v>
      </c>
      <c r="O106" s="495"/>
      <c r="P106" s="423" t="s">
        <v>169</v>
      </c>
      <c r="Q106" s="552">
        <f t="shared" ref="Q106:Q111" si="29">O106+M106</f>
        <v>749404.24</v>
      </c>
      <c r="R106" s="500"/>
      <c r="S106" s="500"/>
    </row>
    <row r="107" spans="1:19" ht="18" customHeight="1" x14ac:dyDescent="0.2">
      <c r="A107" s="606" t="s">
        <v>245</v>
      </c>
      <c r="B107" s="417" t="s">
        <v>170</v>
      </c>
      <c r="D107" s="520"/>
      <c r="E107" s="520"/>
      <c r="F107" s="520"/>
      <c r="G107" s="490">
        <f>'Link Data'!G108</f>
        <v>0</v>
      </c>
      <c r="H107" s="490">
        <f>'Link Data'!H108</f>
        <v>0</v>
      </c>
      <c r="I107" s="490">
        <f>'Link Data'!I108</f>
        <v>0</v>
      </c>
      <c r="J107" s="490">
        <f>H107-I107</f>
        <v>0</v>
      </c>
      <c r="K107" s="437">
        <f t="shared" si="27"/>
        <v>0</v>
      </c>
      <c r="L107" s="442">
        <f t="shared" si="28"/>
        <v>1.018</v>
      </c>
      <c r="M107" s="554">
        <f>ROUND(K107*L107*$M$5,2)</f>
        <v>0</v>
      </c>
      <c r="N107" s="500" t="s">
        <v>168</v>
      </c>
      <c r="O107" s="538">
        <f>ROUND(IF((K107+K108)&lt;ClassSize,(1-((K107+K108)/200))*(VLOOKUP($B107,weights,3,FALSE))*(K107+K108),0),0)</f>
        <v>312096</v>
      </c>
      <c r="P107" s="423" t="s">
        <v>169</v>
      </c>
      <c r="Q107" s="554">
        <f t="shared" si="29"/>
        <v>312096</v>
      </c>
      <c r="R107" s="500"/>
      <c r="S107" s="500"/>
    </row>
    <row r="108" spans="1:19" ht="18" customHeight="1" x14ac:dyDescent="0.2">
      <c r="A108" s="606" t="s">
        <v>246</v>
      </c>
      <c r="B108" s="417" t="s">
        <v>170</v>
      </c>
      <c r="D108" s="520"/>
      <c r="E108" s="520"/>
      <c r="F108" s="520"/>
      <c r="G108" s="490">
        <f>'Link Data'!G107+'Link Data'!G108</f>
        <v>64</v>
      </c>
      <c r="H108" s="490">
        <f>'Link Data'!H107+'Link Data'!H108</f>
        <v>282</v>
      </c>
      <c r="I108" s="490">
        <f>'Link Data'!K107+'Link Data'!K108</f>
        <v>23</v>
      </c>
      <c r="J108" s="490">
        <f>H108-I108</f>
        <v>259</v>
      </c>
      <c r="K108" s="437">
        <f t="shared" si="27"/>
        <v>17.059999999999999</v>
      </c>
      <c r="L108" s="442">
        <f t="shared" si="28"/>
        <v>1.018</v>
      </c>
      <c r="M108" s="554">
        <f>ROUND(K108*L108*$M$5,2)</f>
        <v>167100.20000000001</v>
      </c>
      <c r="N108" s="500" t="s">
        <v>168</v>
      </c>
      <c r="O108" s="512"/>
      <c r="P108" s="423" t="s">
        <v>169</v>
      </c>
      <c r="Q108" s="554">
        <f t="shared" si="29"/>
        <v>167100.20000000001</v>
      </c>
      <c r="R108" s="500"/>
      <c r="S108" s="500"/>
    </row>
    <row r="109" spans="1:19" ht="18" customHeight="1" x14ac:dyDescent="0.2">
      <c r="A109" s="564" t="s">
        <v>247</v>
      </c>
      <c r="B109" s="417" t="s">
        <v>170</v>
      </c>
      <c r="D109" s="520"/>
      <c r="E109" s="520"/>
      <c r="F109" s="520"/>
      <c r="G109" s="490">
        <f>'Link Data'!G109+'Link Data'!G110</f>
        <v>183</v>
      </c>
      <c r="H109" s="490">
        <f>'Link Data'!H109+'Link Data'!H110</f>
        <v>566</v>
      </c>
      <c r="I109" s="490">
        <f>'Link Data'!K109+'Link Data'!K110</f>
        <v>25</v>
      </c>
      <c r="J109" s="490">
        <f>H109-I109</f>
        <v>541</v>
      </c>
      <c r="K109" s="437">
        <f t="shared" si="27"/>
        <v>37.68</v>
      </c>
      <c r="L109" s="442">
        <f t="shared" si="28"/>
        <v>1.018</v>
      </c>
      <c r="M109" s="554">
        <f>ROUND(K109*L109*$M$5,2)</f>
        <v>369070.08000000002</v>
      </c>
      <c r="N109" s="500" t="s">
        <v>168</v>
      </c>
      <c r="O109" s="500">
        <f t="shared" ref="O109:O111" si="30">ROUND(IF(K109&lt;ClassSize,(1-(K109/200))*(VLOOKUP($B109,weights,3,FALSE))*K109,0),0)</f>
        <v>611622</v>
      </c>
      <c r="P109" s="423" t="s">
        <v>169</v>
      </c>
      <c r="Q109" s="554">
        <f t="shared" si="29"/>
        <v>980692.08000000007</v>
      </c>
      <c r="R109" s="500"/>
      <c r="S109" s="500"/>
    </row>
    <row r="110" spans="1:19" ht="18" customHeight="1" x14ac:dyDescent="0.2">
      <c r="A110" s="564" t="s">
        <v>248</v>
      </c>
      <c r="B110" s="417" t="s">
        <v>170</v>
      </c>
      <c r="D110" s="520"/>
      <c r="E110" s="520"/>
      <c r="F110" s="520"/>
      <c r="G110" s="490">
        <f>'Link Data'!G111+'Link Data'!G112</f>
        <v>3</v>
      </c>
      <c r="H110" s="490">
        <f>'Link Data'!H111+'Link Data'!H112</f>
        <v>29</v>
      </c>
      <c r="I110" s="490">
        <f>'Link Data'!K111+'Link Data'!K112</f>
        <v>0</v>
      </c>
      <c r="J110" s="490">
        <f t="shared" ref="J110:J111" si="31">H110-I110</f>
        <v>29</v>
      </c>
      <c r="K110" s="437">
        <f t="shared" si="27"/>
        <v>1.74</v>
      </c>
      <c r="L110" s="442">
        <f t="shared" si="28"/>
        <v>1.018</v>
      </c>
      <c r="M110" s="554">
        <f t="shared" ref="M110:M111" si="32">ROUND(K110*L110*$M$5,2)</f>
        <v>17043.05</v>
      </c>
      <c r="N110" s="500" t="s">
        <v>168</v>
      </c>
      <c r="O110" s="500">
        <f t="shared" si="30"/>
        <v>34497</v>
      </c>
      <c r="P110" s="423" t="s">
        <v>169</v>
      </c>
      <c r="Q110" s="554">
        <f t="shared" si="29"/>
        <v>51540.05</v>
      </c>
      <c r="R110" s="500"/>
      <c r="S110" s="500"/>
    </row>
    <row r="111" spans="1:19" ht="18" customHeight="1" x14ac:dyDescent="0.2">
      <c r="A111" s="564" t="s">
        <v>249</v>
      </c>
      <c r="B111" s="417" t="s">
        <v>170</v>
      </c>
      <c r="D111" s="520"/>
      <c r="E111" s="520"/>
      <c r="F111" s="520"/>
      <c r="G111" s="490">
        <f>'Link Data'!G113</f>
        <v>0</v>
      </c>
      <c r="H111" s="490">
        <f>'Link Data'!H113</f>
        <v>0</v>
      </c>
      <c r="I111" s="490">
        <f>'Link Data'!K113</f>
        <v>0</v>
      </c>
      <c r="J111" s="490">
        <f t="shared" si="31"/>
        <v>0</v>
      </c>
      <c r="K111" s="437">
        <f t="shared" si="27"/>
        <v>0</v>
      </c>
      <c r="L111" s="442">
        <f t="shared" si="28"/>
        <v>1.018</v>
      </c>
      <c r="M111" s="554">
        <f t="shared" si="32"/>
        <v>0</v>
      </c>
      <c r="N111" s="500" t="s">
        <v>168</v>
      </c>
      <c r="O111" s="500">
        <f t="shared" si="30"/>
        <v>0</v>
      </c>
      <c r="P111" s="423" t="s">
        <v>169</v>
      </c>
      <c r="Q111" s="554">
        <f t="shared" si="29"/>
        <v>0</v>
      </c>
      <c r="R111" s="500"/>
      <c r="S111" s="500"/>
    </row>
    <row r="112" spans="1:19" ht="18" customHeight="1" x14ac:dyDescent="0.25">
      <c r="A112" s="501" t="s">
        <v>195</v>
      </c>
      <c r="B112" s="502"/>
      <c r="C112" s="502" t="s">
        <v>171</v>
      </c>
      <c r="D112" s="611"/>
      <c r="E112" s="611"/>
      <c r="F112" s="611"/>
      <c r="G112" s="472">
        <f>SUM(G106:G111)</f>
        <v>1117</v>
      </c>
      <c r="H112" s="472">
        <f>SUM(H106:H111)</f>
        <v>1627</v>
      </c>
      <c r="I112" s="472">
        <f>SUM(I106:I111)</f>
        <v>71</v>
      </c>
      <c r="J112" s="472">
        <f>SUM(J106:J111)</f>
        <v>1556</v>
      </c>
      <c r="K112" s="473">
        <f>SUM(K106:K111)</f>
        <v>132.99</v>
      </c>
      <c r="L112" s="474"/>
      <c r="M112" s="475">
        <f>SUM(M106:M111)</f>
        <v>1302617.57</v>
      </c>
      <c r="N112" s="498"/>
      <c r="O112" s="612">
        <f>SUM(O106:O111)</f>
        <v>958215</v>
      </c>
      <c r="P112" s="436"/>
      <c r="Q112" s="475">
        <f>SUM(Q106:Q111)</f>
        <v>2260832.5699999998</v>
      </c>
      <c r="R112" s="477">
        <f>ROUND($Q112,0)</f>
        <v>2260833</v>
      </c>
      <c r="S112" s="477">
        <f>ROUND($Q112,0)</f>
        <v>2260833</v>
      </c>
    </row>
    <row r="113" spans="1:20" ht="18" customHeight="1" x14ac:dyDescent="0.2">
      <c r="D113" s="490"/>
      <c r="E113" s="490"/>
      <c r="F113" s="490"/>
      <c r="G113" s="490"/>
      <c r="H113" s="490"/>
      <c r="I113" s="490"/>
      <c r="J113" s="490"/>
      <c r="M113" s="500"/>
      <c r="N113" s="500"/>
      <c r="O113" s="500"/>
      <c r="Q113" s="500"/>
      <c r="R113" s="500"/>
      <c r="S113" s="500"/>
    </row>
    <row r="114" spans="1:20" ht="18" customHeight="1" x14ac:dyDescent="0.25">
      <c r="A114" s="569" t="s">
        <v>250</v>
      </c>
      <c r="B114" s="502" t="s">
        <v>172</v>
      </c>
      <c r="C114" s="502" t="s">
        <v>173</v>
      </c>
      <c r="D114" s="472">
        <f>'Link Data'!F113</f>
        <v>1949</v>
      </c>
      <c r="E114" s="471"/>
      <c r="F114" s="471"/>
      <c r="G114" s="472">
        <f>'Link Data'!G113</f>
        <v>0</v>
      </c>
      <c r="H114" s="471"/>
      <c r="I114" s="471"/>
      <c r="J114" s="472">
        <f>H114-I114</f>
        <v>0</v>
      </c>
      <c r="K114" s="473">
        <f>ROUND(E114+F114+(D114/D$5)+(G114/G$5)+(J114/J$5),2)</f>
        <v>64.97</v>
      </c>
      <c r="L114" s="474">
        <f>VLOOKUP($B114,weights,2,FALSE)</f>
        <v>1</v>
      </c>
      <c r="M114" s="475">
        <f>ROUND(K114*L114*$M$5,2)</f>
        <v>625119.48</v>
      </c>
      <c r="N114" s="498" t="s">
        <v>168</v>
      </c>
      <c r="O114" s="476">
        <f>ROUND(IF(K114&lt;ClassSize,(1-(K114/200))*(VLOOKUP($B114,weights,3,FALSE))*K114,0),0)</f>
        <v>877290</v>
      </c>
      <c r="P114" s="436" t="s">
        <v>169</v>
      </c>
      <c r="Q114" s="475">
        <f>O114+M114</f>
        <v>1502409.48</v>
      </c>
      <c r="R114" s="477">
        <f>ROUND($Q114,0)</f>
        <v>1502409</v>
      </c>
      <c r="S114" s="477">
        <f>ROUND($Q114,0)</f>
        <v>1502409</v>
      </c>
    </row>
    <row r="115" spans="1:20" ht="18" customHeight="1" x14ac:dyDescent="0.25">
      <c r="A115" s="441"/>
      <c r="D115" s="490"/>
      <c r="E115" s="573"/>
      <c r="F115" s="573"/>
      <c r="G115" s="573"/>
      <c r="H115" s="573"/>
      <c r="I115" s="573"/>
      <c r="J115" s="490"/>
      <c r="M115" s="613"/>
      <c r="N115" s="500"/>
      <c r="O115" s="500"/>
      <c r="Q115" s="613"/>
      <c r="R115" s="580"/>
      <c r="S115" s="580"/>
    </row>
    <row r="116" spans="1:20" ht="18" customHeight="1" x14ac:dyDescent="0.25">
      <c r="A116" s="417" t="s">
        <v>251</v>
      </c>
      <c r="B116" s="417" t="s">
        <v>181</v>
      </c>
      <c r="D116" s="490">
        <f>'Link Data'!F114+'Link Data'!F115</f>
        <v>8517</v>
      </c>
      <c r="E116" s="520"/>
      <c r="F116" s="520"/>
      <c r="G116" s="520"/>
      <c r="H116" s="520"/>
      <c r="I116" s="520"/>
      <c r="J116" s="490">
        <f>H116-I116</f>
        <v>0</v>
      </c>
      <c r="K116" s="437">
        <f t="shared" ref="K116" si="33">ROUND(E116+F116+(D116/D$5)+(G116/G$5)+(J116/J$5),2)</f>
        <v>283.89999999999998</v>
      </c>
      <c r="L116" s="442">
        <f>VLOOKUP($B116,weights,2,FALSE)</f>
        <v>1.1379999999999999</v>
      </c>
      <c r="M116" s="552">
        <f>ROUND(K116*L116*$M$5,2)</f>
        <v>3108549.73</v>
      </c>
      <c r="N116" s="500" t="s">
        <v>168</v>
      </c>
      <c r="O116" s="614"/>
      <c r="P116" s="423" t="s">
        <v>169</v>
      </c>
      <c r="Q116" s="552">
        <f>O116+M116</f>
        <v>3108549.73</v>
      </c>
      <c r="R116" s="580"/>
      <c r="S116" s="580"/>
    </row>
    <row r="117" spans="1:20" ht="18" customHeight="1" x14ac:dyDescent="0.2">
      <c r="A117" s="417" t="s">
        <v>252</v>
      </c>
      <c r="B117" s="417" t="s">
        <v>181</v>
      </c>
      <c r="D117" s="490">
        <f>'Link Data'!F116</f>
        <v>3352</v>
      </c>
      <c r="E117" s="520"/>
      <c r="F117" s="520"/>
      <c r="G117" s="520"/>
      <c r="H117" s="520"/>
      <c r="I117" s="520"/>
      <c r="J117" s="490">
        <f>H117-I117</f>
        <v>0</v>
      </c>
      <c r="K117" s="437">
        <f>ROUND(E117+F117+(D117/D$5)+(G117/G$5)+(J117/J$5),2)</f>
        <v>111.73</v>
      </c>
      <c r="L117" s="442">
        <f>VLOOKUP($B117,weights,2,FALSE)</f>
        <v>1.1379999999999999</v>
      </c>
      <c r="M117" s="552">
        <f>ROUND(K117*L117*$M$5,2)</f>
        <v>1223382.3899999999</v>
      </c>
      <c r="N117" s="500" t="s">
        <v>168</v>
      </c>
      <c r="O117" s="500">
        <f>ROUND(IF(K117&lt;ClassSize,(1-(K117/200))*(VLOOKUP($B117,weights,3,FALSE))*K117,0),0)</f>
        <v>986241</v>
      </c>
      <c r="P117" s="423" t="s">
        <v>169</v>
      </c>
      <c r="Q117" s="554">
        <f>O117+M117</f>
        <v>2209623.3899999997</v>
      </c>
      <c r="R117" s="580"/>
      <c r="S117" s="580"/>
    </row>
    <row r="118" spans="1:20" ht="18" customHeight="1" x14ac:dyDescent="0.2">
      <c r="A118" s="417" t="s">
        <v>253</v>
      </c>
      <c r="B118" s="417" t="s">
        <v>181</v>
      </c>
      <c r="D118" s="490">
        <f>'Link Data'!F117</f>
        <v>0</v>
      </c>
      <c r="E118" s="520"/>
      <c r="F118" s="520"/>
      <c r="G118" s="520"/>
      <c r="H118" s="520"/>
      <c r="I118" s="520"/>
      <c r="J118" s="490">
        <f>H118-I118</f>
        <v>0</v>
      </c>
      <c r="K118" s="437">
        <f>ROUND(E118+F118+(D118/D$5)+(G118/G$5)+(J118/J$5),2)</f>
        <v>0</v>
      </c>
      <c r="L118" s="442">
        <f>VLOOKUP($B118,weights,2,FALSE)</f>
        <v>1.1379999999999999</v>
      </c>
      <c r="M118" s="552">
        <f>ROUND(K118*L118*$M$5,2)</f>
        <v>0</v>
      </c>
      <c r="N118" s="500" t="s">
        <v>168</v>
      </c>
      <c r="O118" s="500">
        <f>ROUND(IF(K118&lt;ClassSize,(1-(K118/200))*(VLOOKUP($B118,weights,3,FALSE))*K118,0),0)</f>
        <v>0</v>
      </c>
      <c r="P118" s="423" t="s">
        <v>169</v>
      </c>
      <c r="Q118" s="554">
        <f>O118+M118</f>
        <v>0</v>
      </c>
      <c r="R118" s="580"/>
      <c r="S118" s="580"/>
    </row>
    <row r="119" spans="1:20" ht="18" customHeight="1" x14ac:dyDescent="0.25">
      <c r="A119" s="607" t="s">
        <v>254</v>
      </c>
      <c r="B119" s="502"/>
      <c r="C119" s="502" t="s">
        <v>182</v>
      </c>
      <c r="D119" s="472">
        <f>SUM(D116:D118)</f>
        <v>11869</v>
      </c>
      <c r="E119" s="471"/>
      <c r="F119" s="471"/>
      <c r="G119" s="471"/>
      <c r="H119" s="471"/>
      <c r="I119" s="471"/>
      <c r="J119" s="472">
        <f t="shared" ref="J119:K119" si="34">SUM(J116:J118)</f>
        <v>0</v>
      </c>
      <c r="K119" s="473">
        <f t="shared" si="34"/>
        <v>395.63</v>
      </c>
      <c r="L119" s="474"/>
      <c r="M119" s="475">
        <f>SUM(M116:M118)</f>
        <v>4331932.12</v>
      </c>
      <c r="N119" s="498" t="s">
        <v>168</v>
      </c>
      <c r="O119" s="612">
        <f>SUM(O116:O118)</f>
        <v>986241</v>
      </c>
      <c r="P119" s="436" t="s">
        <v>169</v>
      </c>
      <c r="Q119" s="610">
        <f>SUM(Q116:Q118)</f>
        <v>5318173.1199999992</v>
      </c>
      <c r="R119" s="580"/>
      <c r="S119" s="580"/>
    </row>
    <row r="120" spans="1:20" ht="18" customHeight="1" x14ac:dyDescent="0.25">
      <c r="A120" s="615"/>
      <c r="D120" s="490"/>
      <c r="E120" s="490"/>
      <c r="F120" s="490"/>
      <c r="G120" s="490"/>
      <c r="H120" s="490"/>
      <c r="I120" s="490"/>
      <c r="J120" s="490"/>
      <c r="M120" s="613"/>
      <c r="N120" s="500"/>
      <c r="O120" s="616"/>
      <c r="Q120" s="613"/>
      <c r="R120" s="580"/>
      <c r="S120" s="580"/>
      <c r="T120" s="417"/>
    </row>
    <row r="121" spans="1:20" ht="18" customHeight="1" x14ac:dyDescent="0.25">
      <c r="A121" s="417" t="s">
        <v>255</v>
      </c>
      <c r="B121" s="417" t="s">
        <v>184</v>
      </c>
      <c r="D121" s="520"/>
      <c r="E121" s="520"/>
      <c r="F121" s="520"/>
      <c r="G121" s="617">
        <f>'Link Data'!G114+'Link Data'!G115</f>
        <v>2008</v>
      </c>
      <c r="H121" s="617">
        <f>'Link Data'!H114+'Link Data'!H115</f>
        <v>0</v>
      </c>
      <c r="I121" s="618"/>
      <c r="J121" s="617">
        <f>H121-I121</f>
        <v>0</v>
      </c>
      <c r="K121" s="619">
        <f>ROUND(E121+F121+(D121/D$5)+(G121/G$5)+(J121/J$5),2)</f>
        <v>83.67</v>
      </c>
      <c r="L121" s="620">
        <f>VLOOKUP($B121,weights,2,FALSE)</f>
        <v>1.1379999999999999</v>
      </c>
      <c r="M121" s="621">
        <f>ROUND(K121*L121*$M$5,2)</f>
        <v>916140.74</v>
      </c>
      <c r="N121" s="622" t="s">
        <v>168</v>
      </c>
      <c r="O121" s="623"/>
      <c r="P121" s="423" t="s">
        <v>169</v>
      </c>
      <c r="Q121" s="552">
        <f>O121+M121</f>
        <v>916140.74</v>
      </c>
      <c r="R121" s="580"/>
      <c r="S121" s="580"/>
    </row>
    <row r="122" spans="1:20" ht="18" customHeight="1" x14ac:dyDescent="0.25">
      <c r="A122" s="607" t="s">
        <v>256</v>
      </c>
      <c r="B122" s="502"/>
      <c r="C122" s="502" t="s">
        <v>185</v>
      </c>
      <c r="D122" s="471"/>
      <c r="E122" s="471"/>
      <c r="F122" s="471"/>
      <c r="G122" s="472">
        <f>SUM(G121)</f>
        <v>2008</v>
      </c>
      <c r="H122" s="472">
        <f>SUM(H121)</f>
        <v>0</v>
      </c>
      <c r="I122" s="471"/>
      <c r="J122" s="472">
        <f>SUM(J121)</f>
        <v>0</v>
      </c>
      <c r="K122" s="473">
        <f>SUM(K121)</f>
        <v>83.67</v>
      </c>
      <c r="L122" s="474"/>
      <c r="M122" s="475">
        <f>SUM(M121)</f>
        <v>916140.74</v>
      </c>
      <c r="N122" s="498" t="s">
        <v>168</v>
      </c>
      <c r="O122" s="612">
        <f>SUM(O121)</f>
        <v>0</v>
      </c>
      <c r="P122" s="436" t="s">
        <v>169</v>
      </c>
      <c r="Q122" s="610">
        <f>SUM(Q121)</f>
        <v>916140.74</v>
      </c>
      <c r="R122" s="477">
        <f>ROUND($Q119+$Q122,0)</f>
        <v>6234314</v>
      </c>
      <c r="S122" s="477">
        <f>ROUND($Q119+$Q122,0)</f>
        <v>6234314</v>
      </c>
    </row>
    <row r="123" spans="1:20" ht="18" customHeight="1" x14ac:dyDescent="0.2">
      <c r="D123" s="490"/>
      <c r="E123" s="490"/>
      <c r="F123" s="490"/>
      <c r="G123" s="490"/>
      <c r="H123" s="490"/>
      <c r="I123" s="490"/>
      <c r="J123" s="490"/>
      <c r="M123" s="500"/>
      <c r="N123" s="500"/>
      <c r="O123" s="500"/>
      <c r="Q123" s="500"/>
      <c r="R123" s="500"/>
      <c r="S123" s="500"/>
    </row>
    <row r="124" spans="1:20" ht="18" customHeight="1" x14ac:dyDescent="0.25">
      <c r="A124" s="551" t="s">
        <v>257</v>
      </c>
      <c r="B124" s="417" t="s">
        <v>258</v>
      </c>
      <c r="D124" s="520"/>
      <c r="E124" s="520"/>
      <c r="F124" s="520"/>
      <c r="G124" s="490">
        <f>'Link Data'!G118+'Link Data'!G119</f>
        <v>6136</v>
      </c>
      <c r="H124" s="520"/>
      <c r="I124" s="520"/>
      <c r="J124" s="490">
        <f>H124-I124</f>
        <v>0</v>
      </c>
      <c r="K124" s="437">
        <f>ROUND(E124+F124+(D124/D$5)+(G124/G$5)+(J124/J$5),2)</f>
        <v>255.67</v>
      </c>
      <c r="L124" s="442">
        <f>VLOOKUP($B124,weights,2,FALSE)</f>
        <v>1.67</v>
      </c>
      <c r="M124" s="613">
        <f>ROUND(K124*L124*$M$5,2)</f>
        <v>4108151.08</v>
      </c>
      <c r="N124" s="500"/>
      <c r="O124" s="495"/>
      <c r="P124" s="423" t="s">
        <v>169</v>
      </c>
      <c r="Q124" s="552">
        <f>O124+M124</f>
        <v>4108151.08</v>
      </c>
      <c r="R124" s="500"/>
      <c r="S124" s="500"/>
    </row>
    <row r="125" spans="1:20" s="625" customFormat="1" ht="18" customHeight="1" x14ac:dyDescent="0.25">
      <c r="A125" s="624" t="s">
        <v>259</v>
      </c>
      <c r="B125" s="625" t="s">
        <v>258</v>
      </c>
      <c r="D125" s="618"/>
      <c r="E125" s="618"/>
      <c r="F125" s="618"/>
      <c r="G125" s="490">
        <f>'Link Data'!G120+'Link Data'!G121</f>
        <v>10073</v>
      </c>
      <c r="H125" s="618"/>
      <c r="I125" s="618"/>
      <c r="J125" s="617">
        <f>H125-I125</f>
        <v>0</v>
      </c>
      <c r="K125" s="619">
        <f>ROUND(E125+F125+(D125/D$5)+(G125/G$5)+(J125/J$5),2)</f>
        <v>419.71</v>
      </c>
      <c r="L125" s="620">
        <f>VLOOKUP($B125,weights,2,FALSE)</f>
        <v>1.67</v>
      </c>
      <c r="M125" s="626">
        <f>ROUND(K125*L125*$M$5,2)</f>
        <v>6743975.0099999998</v>
      </c>
      <c r="N125" s="622"/>
      <c r="O125" s="622">
        <f>ROUND(IF(K125&lt;ClassSize,(1-(K125/200))*(VLOOKUP($B125,weights,3,FALSE))*K125,0),0)</f>
        <v>0</v>
      </c>
      <c r="P125" s="627" t="s">
        <v>169</v>
      </c>
      <c r="Q125" s="628">
        <f>O125+M125</f>
        <v>6743975.0099999998</v>
      </c>
      <c r="R125" s="622"/>
      <c r="S125" s="622"/>
      <c r="T125" s="629"/>
    </row>
    <row r="126" spans="1:20" s="631" customFormat="1" ht="18" customHeight="1" x14ac:dyDescent="0.25">
      <c r="A126" s="630" t="s">
        <v>260</v>
      </c>
      <c r="C126" s="631" t="s">
        <v>261</v>
      </c>
      <c r="D126" s="585"/>
      <c r="E126" s="585"/>
      <c r="F126" s="585"/>
      <c r="G126" s="472">
        <f>SUM(G124:G125)</f>
        <v>16209</v>
      </c>
      <c r="H126" s="585"/>
      <c r="I126" s="585"/>
      <c r="J126" s="503">
        <f>H126-I126</f>
        <v>0</v>
      </c>
      <c r="K126" s="504">
        <f>SUM(K124:K125)</f>
        <v>675.38</v>
      </c>
      <c r="L126" s="505"/>
      <c r="M126" s="506">
        <f>SUM(M124:M125)</f>
        <v>10852126.09</v>
      </c>
      <c r="N126" s="512" t="s">
        <v>168</v>
      </c>
      <c r="O126" s="511">
        <f>SUM(O124:O125)</f>
        <v>0</v>
      </c>
      <c r="P126" s="632" t="s">
        <v>169</v>
      </c>
      <c r="Q126" s="506">
        <f>SUM(Q124:Q125)</f>
        <v>10852126.09</v>
      </c>
      <c r="R126" s="567">
        <f>ROUND($Q126,0)</f>
        <v>10852126</v>
      </c>
      <c r="S126" s="567">
        <f>ROUND($Q126,0)</f>
        <v>10852126</v>
      </c>
      <c r="T126" s="633"/>
    </row>
    <row r="127" spans="1:20" ht="18" customHeight="1" x14ac:dyDescent="0.2">
      <c r="D127" s="490"/>
      <c r="E127" s="490"/>
      <c r="F127" s="490"/>
      <c r="G127" s="490"/>
      <c r="H127" s="490"/>
      <c r="I127" s="490"/>
      <c r="J127" s="490"/>
      <c r="M127" s="500"/>
      <c r="N127" s="500"/>
      <c r="O127" s="500"/>
      <c r="Q127" s="500"/>
      <c r="R127" s="500"/>
      <c r="S127" s="500"/>
    </row>
    <row r="128" spans="1:20" ht="18" customHeight="1" x14ac:dyDescent="0.2">
      <c r="A128" s="550" t="s">
        <v>262</v>
      </c>
      <c r="B128" s="417" t="s">
        <v>187</v>
      </c>
      <c r="D128" s="490">
        <f>'Link Data'!F122+'Link Data'!F123</f>
        <v>16834</v>
      </c>
      <c r="E128" s="520"/>
      <c r="F128" s="520"/>
      <c r="G128" s="490">
        <f>'Link Data'!G122+'Link Data'!G123</f>
        <v>7360</v>
      </c>
      <c r="H128" s="490">
        <f>'Link Data'!H122+'Link Data'!H123</f>
        <v>922</v>
      </c>
      <c r="I128" s="490">
        <f>'Link Data'!K122+'Link Data'!K123</f>
        <v>0</v>
      </c>
      <c r="J128" s="490">
        <f>H128-I128</f>
        <v>922</v>
      </c>
      <c r="K128" s="437">
        <f t="shared" ref="K128:K134" si="35">ROUND(E128+F128+(D128/D$5)+(G128/G$5)+(J128/J$5),2)</f>
        <v>919.02</v>
      </c>
      <c r="L128" s="442">
        <f t="shared" ref="L128:L134" si="36">VLOOKUP($B128,weights,2,FALSE)</f>
        <v>1.7210000000000001</v>
      </c>
      <c r="M128" s="552">
        <f>ROUND(K128*L128*$M$5,2)</f>
        <v>15217944.560000001</v>
      </c>
      <c r="N128" s="500" t="s">
        <v>168</v>
      </c>
      <c r="O128" s="495">
        <f t="shared" ref="O128:O134" si="37">ROUND(IF(K128&lt;ClassSize,(1-(K128/200))*(VLOOKUP($B128,weights,3,FALSE))*K128,0),0)</f>
        <v>0</v>
      </c>
      <c r="P128" s="423" t="s">
        <v>169</v>
      </c>
      <c r="Q128" s="552">
        <f>O128+M128</f>
        <v>15217944.560000001</v>
      </c>
      <c r="R128" s="634"/>
      <c r="S128" s="634"/>
    </row>
    <row r="129" spans="1:20" ht="18" customHeight="1" x14ac:dyDescent="0.2">
      <c r="A129" s="550" t="s">
        <v>263</v>
      </c>
      <c r="B129" s="417" t="s">
        <v>187</v>
      </c>
      <c r="D129" s="490">
        <f>'Link Data'!F124</f>
        <v>0</v>
      </c>
      <c r="E129" s="520"/>
      <c r="F129" s="520"/>
      <c r="G129" s="490">
        <f>'Link Data'!G124</f>
        <v>0</v>
      </c>
      <c r="H129" s="490">
        <f>'Link Data'!H124</f>
        <v>0</v>
      </c>
      <c r="I129" s="490">
        <f>'Link Data'!K124</f>
        <v>0</v>
      </c>
      <c r="J129" s="490">
        <f>H129-I129</f>
        <v>0</v>
      </c>
      <c r="K129" s="437">
        <f t="shared" si="35"/>
        <v>0</v>
      </c>
      <c r="L129" s="442">
        <f t="shared" si="36"/>
        <v>1.7210000000000001</v>
      </c>
      <c r="M129" s="554">
        <f>ROUND(K129*L129*$M$5,2)</f>
        <v>0</v>
      </c>
      <c r="N129" s="500" t="s">
        <v>168</v>
      </c>
      <c r="O129" s="500">
        <f t="shared" ref="O129" si="38">ROUND(IF(K129&lt;ClassSize,(1-(K129/200))*(VLOOKUP($B129,weights,3,FALSE))*K129,0),0)</f>
        <v>0</v>
      </c>
      <c r="P129" s="423" t="s">
        <v>169</v>
      </c>
      <c r="Q129" s="554">
        <f>O129+M129</f>
        <v>0</v>
      </c>
      <c r="R129" s="634"/>
      <c r="S129" s="634"/>
    </row>
    <row r="130" spans="1:20" ht="18" customHeight="1" x14ac:dyDescent="0.2">
      <c r="A130" s="550" t="s">
        <v>264</v>
      </c>
      <c r="B130" s="417" t="s">
        <v>187</v>
      </c>
      <c r="D130" s="490">
        <f>'Link Data'!F125</f>
        <v>0</v>
      </c>
      <c r="E130" s="520"/>
      <c r="F130" s="520"/>
      <c r="G130" s="490">
        <f>'Link Data'!G125</f>
        <v>0</v>
      </c>
      <c r="H130" s="490">
        <f>'Link Data'!H125</f>
        <v>0</v>
      </c>
      <c r="I130" s="490">
        <f>'Link Data'!K125</f>
        <v>0</v>
      </c>
      <c r="J130" s="490">
        <f>H130-I130</f>
        <v>0</v>
      </c>
      <c r="K130" s="437">
        <f t="shared" si="35"/>
        <v>0</v>
      </c>
      <c r="L130" s="442">
        <f t="shared" si="36"/>
        <v>1.7210000000000001</v>
      </c>
      <c r="M130" s="554">
        <f>ROUND(K130*L130*$M$5,2)</f>
        <v>0</v>
      </c>
      <c r="N130" s="500" t="s">
        <v>168</v>
      </c>
      <c r="O130" s="500">
        <f t="shared" si="37"/>
        <v>0</v>
      </c>
      <c r="P130" s="423" t="s">
        <v>169</v>
      </c>
      <c r="Q130" s="554">
        <f>O130+M130</f>
        <v>0</v>
      </c>
      <c r="R130" s="634"/>
      <c r="S130" s="634"/>
    </row>
    <row r="131" spans="1:20" ht="18" customHeight="1" x14ac:dyDescent="0.2">
      <c r="A131" s="550" t="s">
        <v>265</v>
      </c>
      <c r="B131" s="417" t="s">
        <v>187</v>
      </c>
      <c r="D131" s="490">
        <f>'Link Data'!F126</f>
        <v>0</v>
      </c>
      <c r="E131" s="520"/>
      <c r="F131" s="520"/>
      <c r="G131" s="490">
        <f>'Link Data'!G126</f>
        <v>520</v>
      </c>
      <c r="H131" s="490">
        <f>'Link Data'!H126</f>
        <v>0</v>
      </c>
      <c r="I131" s="490">
        <f>'Link Data'!K126</f>
        <v>0</v>
      </c>
      <c r="J131" s="490">
        <f t="shared" ref="J131:J134" si="39">H131-I131</f>
        <v>0</v>
      </c>
      <c r="K131" s="437">
        <f t="shared" si="35"/>
        <v>21.67</v>
      </c>
      <c r="L131" s="442">
        <f t="shared" si="36"/>
        <v>1.7210000000000001</v>
      </c>
      <c r="M131" s="554">
        <f t="shared" ref="M131:M134" si="40">ROUND(K131*L131*$M$5,2)</f>
        <v>358830.99</v>
      </c>
      <c r="N131" s="500" t="s">
        <v>168</v>
      </c>
      <c r="O131" s="500">
        <f t="shared" si="37"/>
        <v>386441</v>
      </c>
      <c r="P131" s="423" t="s">
        <v>169</v>
      </c>
      <c r="Q131" s="554">
        <f t="shared" ref="Q131:Q134" si="41">O131+M131</f>
        <v>745271.99</v>
      </c>
      <c r="R131" s="634"/>
      <c r="S131" s="634"/>
    </row>
    <row r="132" spans="1:20" ht="18" customHeight="1" x14ac:dyDescent="0.2">
      <c r="A132" s="550" t="s">
        <v>266</v>
      </c>
      <c r="B132" s="417" t="s">
        <v>187</v>
      </c>
      <c r="D132" s="490">
        <f>'Link Data'!F127</f>
        <v>0</v>
      </c>
      <c r="E132" s="520"/>
      <c r="F132" s="520"/>
      <c r="G132" s="490">
        <f>'Link Data'!G127</f>
        <v>0</v>
      </c>
      <c r="H132" s="490">
        <f>'Link Data'!H127</f>
        <v>0</v>
      </c>
      <c r="I132" s="490">
        <f>'Link Data'!K127</f>
        <v>0</v>
      </c>
      <c r="J132" s="490">
        <f t="shared" si="39"/>
        <v>0</v>
      </c>
      <c r="K132" s="437">
        <f t="shared" si="35"/>
        <v>0</v>
      </c>
      <c r="L132" s="442">
        <f t="shared" si="36"/>
        <v>1.7210000000000001</v>
      </c>
      <c r="M132" s="554">
        <f t="shared" si="40"/>
        <v>0</v>
      </c>
      <c r="N132" s="500" t="s">
        <v>168</v>
      </c>
      <c r="O132" s="500">
        <f t="shared" si="37"/>
        <v>0</v>
      </c>
      <c r="P132" s="423" t="s">
        <v>169</v>
      </c>
      <c r="Q132" s="554">
        <f t="shared" si="41"/>
        <v>0</v>
      </c>
      <c r="R132" s="634"/>
      <c r="S132" s="634"/>
    </row>
    <row r="133" spans="1:20" ht="18" customHeight="1" x14ac:dyDescent="0.2">
      <c r="A133" s="550" t="s">
        <v>267</v>
      </c>
      <c r="B133" s="417" t="s">
        <v>187</v>
      </c>
      <c r="D133" s="490">
        <f>'Link Data'!F128</f>
        <v>0</v>
      </c>
      <c r="E133" s="520"/>
      <c r="F133" s="520"/>
      <c r="G133" s="490">
        <f>'Link Data'!G128</f>
        <v>0</v>
      </c>
      <c r="H133" s="490">
        <f>'Link Data'!H128</f>
        <v>0</v>
      </c>
      <c r="I133" s="490">
        <f>'Link Data'!K128</f>
        <v>0</v>
      </c>
      <c r="J133" s="490">
        <f t="shared" si="39"/>
        <v>0</v>
      </c>
      <c r="K133" s="437">
        <f t="shared" si="35"/>
        <v>0</v>
      </c>
      <c r="L133" s="442">
        <f t="shared" si="36"/>
        <v>1.7210000000000001</v>
      </c>
      <c r="M133" s="554">
        <f t="shared" si="40"/>
        <v>0</v>
      </c>
      <c r="N133" s="500" t="s">
        <v>168</v>
      </c>
      <c r="O133" s="500">
        <f t="shared" si="37"/>
        <v>0</v>
      </c>
      <c r="P133" s="423" t="s">
        <v>169</v>
      </c>
      <c r="Q133" s="554">
        <f t="shared" si="41"/>
        <v>0</v>
      </c>
      <c r="R133" s="634"/>
      <c r="S133" s="634"/>
    </row>
    <row r="134" spans="1:20" ht="18" customHeight="1" x14ac:dyDescent="0.2">
      <c r="A134" s="550" t="s">
        <v>268</v>
      </c>
      <c r="B134" s="417" t="s">
        <v>187</v>
      </c>
      <c r="D134" s="490">
        <f>'Link Data'!F129+'Link Data'!F130</f>
        <v>761</v>
      </c>
      <c r="E134" s="520"/>
      <c r="F134" s="520"/>
      <c r="G134" s="490">
        <f>'Link Data'!G129+'Link Data'!G130</f>
        <v>45</v>
      </c>
      <c r="H134" s="490">
        <f>'Link Data'!H129</f>
        <v>0</v>
      </c>
      <c r="I134" s="490">
        <f>'Link Data'!K129+'Link Data'!K130</f>
        <v>0</v>
      </c>
      <c r="J134" s="490">
        <f t="shared" si="39"/>
        <v>0</v>
      </c>
      <c r="K134" s="437">
        <f t="shared" si="35"/>
        <v>27.24</v>
      </c>
      <c r="L134" s="442">
        <f t="shared" si="36"/>
        <v>1.7210000000000001</v>
      </c>
      <c r="M134" s="554">
        <f t="shared" si="40"/>
        <v>451063.97</v>
      </c>
      <c r="N134" s="500" t="s">
        <v>168</v>
      </c>
      <c r="O134" s="500">
        <f t="shared" si="37"/>
        <v>470598</v>
      </c>
      <c r="P134" s="423" t="s">
        <v>169</v>
      </c>
      <c r="Q134" s="554">
        <f t="shared" si="41"/>
        <v>921661.97</v>
      </c>
      <c r="R134" s="634"/>
      <c r="S134" s="634"/>
    </row>
    <row r="135" spans="1:20" s="502" customFormat="1" ht="18" customHeight="1" x14ac:dyDescent="0.25">
      <c r="A135" s="557" t="s">
        <v>211</v>
      </c>
      <c r="C135" s="502" t="s">
        <v>188</v>
      </c>
      <c r="D135" s="472">
        <f>SUM(D128:D134)</f>
        <v>17595</v>
      </c>
      <c r="E135" s="611"/>
      <c r="F135" s="611"/>
      <c r="G135" s="472">
        <f>SUM(G128:G134)</f>
        <v>7925</v>
      </c>
      <c r="H135" s="472">
        <f>SUM(H128:H134)</f>
        <v>922</v>
      </c>
      <c r="I135" s="472">
        <f>SUM(I128:I134)</f>
        <v>0</v>
      </c>
      <c r="J135" s="472">
        <f>SUM(J128:J134)</f>
        <v>922</v>
      </c>
      <c r="K135" s="473">
        <f>SUM(K128:K134)</f>
        <v>967.93</v>
      </c>
      <c r="L135" s="474"/>
      <c r="M135" s="475">
        <f>SUM(M128:M134)</f>
        <v>16027839.520000001</v>
      </c>
      <c r="N135" s="549"/>
      <c r="O135" s="612">
        <f>SUM(O128:O134)</f>
        <v>857039</v>
      </c>
      <c r="P135" s="436"/>
      <c r="Q135" s="475">
        <f>SUM(Q128:Q134)</f>
        <v>16884878.52</v>
      </c>
      <c r="R135" s="477">
        <f>ROUND($Q135,0)</f>
        <v>16884879</v>
      </c>
      <c r="S135" s="477">
        <f>ROUND($Q135,0)</f>
        <v>16884879</v>
      </c>
      <c r="T135" s="635"/>
    </row>
    <row r="136" spans="1:20" ht="18" customHeight="1" thickBot="1" x14ac:dyDescent="0.3">
      <c r="A136" s="636" t="s">
        <v>269</v>
      </c>
      <c r="B136" s="417" t="s">
        <v>175</v>
      </c>
      <c r="C136" s="417" t="s">
        <v>270</v>
      </c>
      <c r="D136" s="503">
        <f t="shared" ref="D136:J136" si="42">D135+D112+D114+D104+D102+D126+D119+D122</f>
        <v>31413</v>
      </c>
      <c r="E136" s="503">
        <f t="shared" si="42"/>
        <v>998</v>
      </c>
      <c r="F136" s="503">
        <f t="shared" si="42"/>
        <v>91</v>
      </c>
      <c r="G136" s="503">
        <f t="shared" si="42"/>
        <v>27259</v>
      </c>
      <c r="H136" s="503">
        <f t="shared" si="42"/>
        <v>2549</v>
      </c>
      <c r="I136" s="503">
        <f t="shared" si="42"/>
        <v>71</v>
      </c>
      <c r="J136" s="503">
        <f t="shared" si="42"/>
        <v>2478</v>
      </c>
      <c r="K136" s="637">
        <f>K135+K112+K114+K104+K102+K126+K119+K122</f>
        <v>3409.5700000000006</v>
      </c>
      <c r="L136" s="561"/>
      <c r="M136" s="562">
        <f>M135+M112+M114+M104+M102+M126+M119+M122</f>
        <v>83116185.519999996</v>
      </c>
      <c r="N136" s="432"/>
      <c r="O136" s="521">
        <f>O135+O112+O114+O104+O102+O126+O119+O122</f>
        <v>8522585</v>
      </c>
      <c r="P136" s="509" t="s">
        <v>169</v>
      </c>
      <c r="Q136" s="488">
        <f>Q135+Q112+Q114+Q104+Q102+Q126+Q119+Q122</f>
        <v>91638770.519999996</v>
      </c>
      <c r="R136" s="523">
        <f>SUM(R102:R135)</f>
        <v>91638771</v>
      </c>
      <c r="S136" s="523">
        <f>SUM(S102:S135)</f>
        <v>91638771</v>
      </c>
    </row>
    <row r="137" spans="1:20" ht="18" customHeight="1" x14ac:dyDescent="0.25">
      <c r="D137" s="490"/>
      <c r="E137" s="490"/>
      <c r="F137" s="490"/>
      <c r="G137" s="490"/>
      <c r="H137" s="490"/>
      <c r="I137" s="490"/>
      <c r="J137" s="490"/>
      <c r="K137" s="322" t="str">
        <f>IF(K136='Link Data'!M132,"","Error")</f>
        <v/>
      </c>
      <c r="M137" s="491"/>
      <c r="R137" s="552"/>
    </row>
    <row r="138" spans="1:20" ht="18" customHeight="1" x14ac:dyDescent="0.25">
      <c r="D138" s="492"/>
      <c r="E138" s="490"/>
      <c r="F138" s="490"/>
      <c r="G138" s="492"/>
      <c r="H138" s="492"/>
      <c r="J138" s="492"/>
      <c r="K138" s="493"/>
      <c r="M138" s="491"/>
    </row>
    <row r="139" spans="1:20" ht="18" customHeight="1" x14ac:dyDescent="0.25">
      <c r="A139" s="468" t="s">
        <v>271</v>
      </c>
      <c r="B139" s="469"/>
      <c r="C139" s="469"/>
      <c r="D139" s="494"/>
      <c r="E139" s="494"/>
      <c r="F139" s="494"/>
      <c r="G139" s="494"/>
      <c r="H139" s="494"/>
      <c r="I139" s="494"/>
      <c r="J139" s="490"/>
      <c r="M139" s="500"/>
      <c r="O139" s="500"/>
      <c r="R139" s="500"/>
    </row>
    <row r="140" spans="1:20" ht="18" customHeight="1" x14ac:dyDescent="0.25">
      <c r="A140" s="417" t="s">
        <v>107</v>
      </c>
      <c r="B140" s="417" t="s">
        <v>166</v>
      </c>
      <c r="C140" s="417" t="s">
        <v>167</v>
      </c>
      <c r="D140" s="471"/>
      <c r="E140" s="472">
        <f>'Link Data'!I136</f>
        <v>945</v>
      </c>
      <c r="F140" s="471"/>
      <c r="G140" s="471"/>
      <c r="H140" s="471"/>
      <c r="I140" s="471"/>
      <c r="J140" s="472">
        <f>H140-I140</f>
        <v>0</v>
      </c>
      <c r="K140" s="473">
        <f>ROUND(E140+F140+(D140/D$5)+(G140/G$5)+(J140/J$5),2)</f>
        <v>945</v>
      </c>
      <c r="L140" s="474">
        <f>VLOOKUP($B140,weights,2,FALSE)</f>
        <v>4.7530000000000001</v>
      </c>
      <c r="M140" s="497">
        <f>ROUND(K140*L140*$M$5,2)</f>
        <v>43216519.479999997</v>
      </c>
      <c r="N140" s="476" t="s">
        <v>168</v>
      </c>
      <c r="O140" s="558">
        <f>ROUND(IF(K140&lt;ClassSize,(1-(K140/200))*(VLOOKUP($B140,weights,3,FALSE))*K140,0),0)</f>
        <v>0</v>
      </c>
      <c r="P140" s="436" t="s">
        <v>169</v>
      </c>
      <c r="Q140" s="475">
        <f>O140+M140</f>
        <v>43216519.479999997</v>
      </c>
      <c r="R140" s="477">
        <f t="shared" ref="R140:S144" si="43">ROUND($Q140,0)</f>
        <v>43216519</v>
      </c>
      <c r="S140" s="477">
        <f t="shared" si="43"/>
        <v>43216519</v>
      </c>
    </row>
    <row r="141" spans="1:20" ht="18" customHeight="1" x14ac:dyDescent="0.25">
      <c r="A141" s="417" t="s">
        <v>101</v>
      </c>
      <c r="B141" s="417" t="s">
        <v>170</v>
      </c>
      <c r="C141" s="417" t="s">
        <v>171</v>
      </c>
      <c r="D141" s="471"/>
      <c r="E141" s="471"/>
      <c r="F141" s="471"/>
      <c r="G141" s="472">
        <f>'Link Data'!G137+'Link Data'!G138</f>
        <v>11458</v>
      </c>
      <c r="H141" s="472">
        <f>'Link Data'!H137+'Link Data'!H138</f>
        <v>1907</v>
      </c>
      <c r="I141" s="472">
        <f>'Link Data'!K137+'Link Data'!K138</f>
        <v>87</v>
      </c>
      <c r="J141" s="472">
        <f>H141-I141</f>
        <v>1820</v>
      </c>
      <c r="K141" s="473">
        <f>ROUND(E141+F141+(D141/D$5)+(G141/G$5)+(J141/J$5),2)</f>
        <v>578.53</v>
      </c>
      <c r="L141" s="474">
        <f>VLOOKUP($B141,weights,2,FALSE)</f>
        <v>1.018</v>
      </c>
      <c r="M141" s="499">
        <f>ROUND(K141*L141*$M$5,2)</f>
        <v>5666616.5700000003</v>
      </c>
      <c r="N141" s="498" t="s">
        <v>168</v>
      </c>
      <c r="O141" s="479">
        <f>ROUND(IF(K141&lt;ClassSize,(1-(K141/200))*(VLOOKUP($B141,weights,3,FALSE))*K141,0),0)</f>
        <v>0</v>
      </c>
      <c r="P141" s="436" t="s">
        <v>169</v>
      </c>
      <c r="Q141" s="478">
        <f>O141+M141</f>
        <v>5666616.5700000003</v>
      </c>
      <c r="R141" s="480">
        <f t="shared" si="43"/>
        <v>5666617</v>
      </c>
      <c r="S141" s="480">
        <f t="shared" si="43"/>
        <v>5666617</v>
      </c>
    </row>
    <row r="142" spans="1:20" ht="18" customHeight="1" x14ac:dyDescent="0.25">
      <c r="A142" s="417" t="s">
        <v>100</v>
      </c>
      <c r="B142" s="417" t="s">
        <v>172</v>
      </c>
      <c r="C142" s="417" t="s">
        <v>173</v>
      </c>
      <c r="D142" s="471"/>
      <c r="E142" s="471"/>
      <c r="F142" s="471"/>
      <c r="G142" s="472">
        <f>'Link Data'!G139+'Link Data'!G140</f>
        <v>14504</v>
      </c>
      <c r="H142" s="471"/>
      <c r="I142" s="471"/>
      <c r="J142" s="472">
        <f>H142-I142</f>
        <v>0</v>
      </c>
      <c r="K142" s="473">
        <f>ROUND(E142+F142+(D142/D$5)+(G142/G$5)+(J142/J$5),2)</f>
        <v>604.33000000000004</v>
      </c>
      <c r="L142" s="474">
        <f>VLOOKUP($B142,weights,2,FALSE)</f>
        <v>1</v>
      </c>
      <c r="M142" s="499">
        <f>ROUND(K142*L142*$M$5,2)</f>
        <v>5814659.9100000001</v>
      </c>
      <c r="N142" s="498" t="s">
        <v>168</v>
      </c>
      <c r="O142" s="479">
        <f>ROUND(IF(K142&lt;ClassSize,(1-(K142/200))*(VLOOKUP($B142,weights,3,FALSE))*K142,0),0)</f>
        <v>0</v>
      </c>
      <c r="P142" s="436" t="s">
        <v>169</v>
      </c>
      <c r="Q142" s="478">
        <f>O142+M142</f>
        <v>5814659.9100000001</v>
      </c>
      <c r="R142" s="480">
        <f t="shared" si="43"/>
        <v>5814660</v>
      </c>
      <c r="S142" s="480">
        <f t="shared" si="43"/>
        <v>5814660</v>
      </c>
    </row>
    <row r="143" spans="1:20" ht="18" customHeight="1" x14ac:dyDescent="0.25">
      <c r="A143" s="417" t="s">
        <v>272</v>
      </c>
      <c r="B143" s="417" t="s">
        <v>258</v>
      </c>
      <c r="C143" s="417" t="s">
        <v>261</v>
      </c>
      <c r="D143" s="471"/>
      <c r="E143" s="471"/>
      <c r="F143" s="471"/>
      <c r="G143" s="472">
        <f>'Link Data'!G141+'Link Data'!G142</f>
        <v>14966</v>
      </c>
      <c r="H143" s="471"/>
      <c r="I143" s="471"/>
      <c r="J143" s="472">
        <f>H143-I143</f>
        <v>0</v>
      </c>
      <c r="K143" s="473">
        <f>ROUND(E143+F143+(D143/D$5)+(G143/G$5)+(J143/J$5),2)</f>
        <v>623.58000000000004</v>
      </c>
      <c r="L143" s="474">
        <f>VLOOKUP($B143,weights,2,FALSE)</f>
        <v>1.67</v>
      </c>
      <c r="M143" s="499">
        <f>ROUND(K143*L143*$M$5,2)</f>
        <v>10019794.470000001</v>
      </c>
      <c r="N143" s="498" t="s">
        <v>168</v>
      </c>
      <c r="O143" s="479">
        <f>ROUND(IF(K143&lt;ClassSize,(1-(K143/200))*(VLOOKUP($B143,weights,3,FALSE))*K143,0),0)</f>
        <v>0</v>
      </c>
      <c r="P143" s="436" t="s">
        <v>169</v>
      </c>
      <c r="Q143" s="478">
        <f>O143+M143</f>
        <v>10019794.470000001</v>
      </c>
      <c r="R143" s="480">
        <f t="shared" si="43"/>
        <v>10019794</v>
      </c>
      <c r="S143" s="480">
        <f t="shared" si="43"/>
        <v>10019794</v>
      </c>
    </row>
    <row r="144" spans="1:20" ht="18" customHeight="1" thickBot="1" x14ac:dyDescent="0.3">
      <c r="A144" s="491" t="s">
        <v>105</v>
      </c>
      <c r="B144" s="417" t="s">
        <v>187</v>
      </c>
      <c r="C144" s="417" t="s">
        <v>188</v>
      </c>
      <c r="D144" s="471"/>
      <c r="E144" s="471"/>
      <c r="F144" s="471"/>
      <c r="G144" s="472">
        <f>'Link Data'!G143+'Link Data'!G144+'Link Data'!G145</f>
        <v>4347</v>
      </c>
      <c r="H144" s="472">
        <f>'Link Data'!H143+'Link Data'!H144+'Link Data'!H145</f>
        <v>199</v>
      </c>
      <c r="I144" s="472">
        <f>'Link Data'!K143+'Link Data'!K144+'Link Data'!K145</f>
        <v>0</v>
      </c>
      <c r="J144" s="472">
        <f>H144-I144</f>
        <v>199</v>
      </c>
      <c r="K144" s="473">
        <f>ROUND(E144+F144+(D144/D$5)+(G144/G$5)+(J144/J$5),2)</f>
        <v>192.18</v>
      </c>
      <c r="L144" s="474">
        <f>VLOOKUP($B144,weights,2,FALSE)</f>
        <v>1.7210000000000001</v>
      </c>
      <c r="M144" s="499">
        <f>ROUND(K144*L144*$M$5,2)</f>
        <v>3182286.11</v>
      </c>
      <c r="N144" s="498" t="s">
        <v>168</v>
      </c>
      <c r="O144" s="479">
        <v>0</v>
      </c>
      <c r="P144" s="436" t="s">
        <v>169</v>
      </c>
      <c r="Q144" s="478">
        <f>O144+M144</f>
        <v>3182286.11</v>
      </c>
      <c r="R144" s="480">
        <f t="shared" si="43"/>
        <v>3182286</v>
      </c>
      <c r="S144" s="480">
        <f t="shared" si="43"/>
        <v>3182286</v>
      </c>
    </row>
    <row r="145" spans="1:19" ht="18" customHeight="1" thickBot="1" x14ac:dyDescent="0.3">
      <c r="A145" s="636" t="s">
        <v>273</v>
      </c>
      <c r="B145" s="502" t="s">
        <v>175</v>
      </c>
      <c r="C145" s="502" t="s">
        <v>274</v>
      </c>
      <c r="D145" s="472">
        <f t="shared" ref="D145:I145" si="44">SUM(D140:D144)</f>
        <v>0</v>
      </c>
      <c r="E145" s="472">
        <f t="shared" si="44"/>
        <v>945</v>
      </c>
      <c r="F145" s="472">
        <f t="shared" si="44"/>
        <v>0</v>
      </c>
      <c r="G145" s="472">
        <f t="shared" si="44"/>
        <v>45275</v>
      </c>
      <c r="H145" s="472">
        <f t="shared" si="44"/>
        <v>2106</v>
      </c>
      <c r="I145" s="472">
        <f t="shared" si="44"/>
        <v>87</v>
      </c>
      <c r="J145" s="472">
        <f t="shared" ref="J145:K145" si="45">SUM(J140:J144)</f>
        <v>2019</v>
      </c>
      <c r="K145" s="484">
        <f t="shared" si="45"/>
        <v>2943.62</v>
      </c>
      <c r="L145" s="474"/>
      <c r="M145" s="486">
        <f>SUM(M140:M144)</f>
        <v>67899876.539999992</v>
      </c>
      <c r="N145" s="432"/>
      <c r="O145" s="487">
        <f>SUM(O140:O144)</f>
        <v>0</v>
      </c>
      <c r="P145" s="436" t="s">
        <v>169</v>
      </c>
      <c r="Q145" s="488">
        <f>SUM(Q140:Q144)</f>
        <v>67899876.539999992</v>
      </c>
      <c r="R145" s="489">
        <f>SUM(R140:R144)</f>
        <v>67899876</v>
      </c>
      <c r="S145" s="489">
        <f>SUM(S140:S144)</f>
        <v>67899876</v>
      </c>
    </row>
    <row r="146" spans="1:19" ht="18" customHeight="1" x14ac:dyDescent="0.25">
      <c r="D146" s="490"/>
      <c r="E146" s="490"/>
      <c r="F146" s="490"/>
      <c r="G146" s="490"/>
      <c r="H146" s="490"/>
      <c r="I146" s="490"/>
      <c r="J146" s="490"/>
      <c r="K146" s="437" t="str">
        <f>IF(K145='Link Data'!M147,"","Error")</f>
        <v/>
      </c>
      <c r="M146" s="491"/>
    </row>
    <row r="147" spans="1:19" ht="18" customHeight="1" x14ac:dyDescent="0.25">
      <c r="D147" s="492"/>
      <c r="E147" s="490"/>
      <c r="F147" s="490"/>
      <c r="G147" s="492"/>
      <c r="H147" s="492"/>
      <c r="J147" s="492"/>
      <c r="K147" s="493"/>
      <c r="M147" s="491"/>
      <c r="R147" s="495"/>
      <c r="S147" s="500"/>
    </row>
    <row r="148" spans="1:19" ht="18" customHeight="1" x14ac:dyDescent="0.25">
      <c r="A148" s="468" t="s">
        <v>275</v>
      </c>
      <c r="B148" s="469"/>
      <c r="C148" s="469"/>
      <c r="D148" s="494"/>
      <c r="E148" s="494"/>
      <c r="F148" s="494"/>
      <c r="G148" s="494"/>
      <c r="H148" s="490"/>
      <c r="I148" s="490"/>
      <c r="J148" s="490"/>
      <c r="M148" s="491"/>
    </row>
    <row r="149" spans="1:19" ht="18" customHeight="1" x14ac:dyDescent="0.2">
      <c r="A149" s="606" t="s">
        <v>276</v>
      </c>
      <c r="B149" s="417" t="s">
        <v>166</v>
      </c>
      <c r="D149" s="520"/>
      <c r="E149" s="490">
        <f>'Link Data'!I151</f>
        <v>578</v>
      </c>
      <c r="F149" s="520"/>
      <c r="G149" s="520"/>
      <c r="H149" s="520"/>
      <c r="I149" s="520"/>
      <c r="J149" s="490">
        <f>H149-I149</f>
        <v>0</v>
      </c>
      <c r="K149" s="437">
        <f>ROUND(E149+F149+(D149/D$5)+(G149/G$5)+(J149/J$5),2)</f>
        <v>578</v>
      </c>
      <c r="L149" s="442">
        <f>VLOOKUP($B149,weights,2,FALSE)</f>
        <v>4.7530000000000001</v>
      </c>
      <c r="M149" s="552">
        <f>ROUND(K149*L149*$M$5,2)</f>
        <v>26432961.120000001</v>
      </c>
      <c r="N149" s="500" t="s">
        <v>168</v>
      </c>
      <c r="O149" s="495">
        <f>ROUND(IF(K149&lt;ClassSize,(1-(K149/200))*(VLOOKUP($B149,weights,3,FALSE))*K149,0),0)</f>
        <v>0</v>
      </c>
      <c r="P149" s="423" t="s">
        <v>169</v>
      </c>
      <c r="Q149" s="552">
        <f>O149+M149</f>
        <v>26432961.120000001</v>
      </c>
      <c r="R149" s="500"/>
      <c r="S149" s="500"/>
    </row>
    <row r="150" spans="1:19" ht="18" customHeight="1" x14ac:dyDescent="0.2">
      <c r="A150" s="606" t="s">
        <v>277</v>
      </c>
      <c r="B150" s="417" t="s">
        <v>166</v>
      </c>
      <c r="D150" s="520"/>
      <c r="E150" s="490">
        <f>'Link Data'!I152</f>
        <v>110</v>
      </c>
      <c r="F150" s="520"/>
      <c r="G150" s="520"/>
      <c r="H150" s="520"/>
      <c r="I150" s="520"/>
      <c r="J150" s="490">
        <f>H150-I150</f>
        <v>0</v>
      </c>
      <c r="K150" s="437">
        <f>ROUND(E150+F150+(D150/D$5)+(G150/G$5)+(J150/J$5),2)</f>
        <v>110</v>
      </c>
      <c r="L150" s="442">
        <f>VLOOKUP($B150,weights,2,FALSE)</f>
        <v>4.7530000000000001</v>
      </c>
      <c r="M150" s="554">
        <f>ROUND(K150*L150*$M$5,2)</f>
        <v>5030494.33</v>
      </c>
      <c r="N150" s="500" t="s">
        <v>168</v>
      </c>
      <c r="O150" s="500">
        <f>ROUND(IF(K150&lt;ClassSize,(1-(K150/200))*(VLOOKUP($B150,weights,3,FALSE))*K150,0),0)</f>
        <v>1485000</v>
      </c>
      <c r="P150" s="423" t="s">
        <v>169</v>
      </c>
      <c r="Q150" s="554">
        <f>O150+M150</f>
        <v>6515494.3300000001</v>
      </c>
      <c r="R150" s="500"/>
      <c r="S150" s="500"/>
    </row>
    <row r="151" spans="1:19" ht="18" customHeight="1" x14ac:dyDescent="0.2">
      <c r="A151" s="606" t="s">
        <v>278</v>
      </c>
      <c r="B151" s="417" t="s">
        <v>166</v>
      </c>
      <c r="D151" s="520"/>
      <c r="E151" s="490">
        <f>'Link Data'!I154</f>
        <v>49</v>
      </c>
      <c r="F151" s="520"/>
      <c r="G151" s="520"/>
      <c r="H151" s="520"/>
      <c r="I151" s="520"/>
      <c r="J151" s="490">
        <f>H151-I151</f>
        <v>0</v>
      </c>
      <c r="K151" s="437">
        <f>ROUND(E151+F151+(D151/D$5)+(G151/G$5)+(J151/J$5),2)</f>
        <v>49</v>
      </c>
      <c r="L151" s="442">
        <f>VLOOKUP($B151,weights,2,FALSE)</f>
        <v>4.7530000000000001</v>
      </c>
      <c r="M151" s="554">
        <f>ROUND(K151*L151*$M$5,2)</f>
        <v>2240856.5699999998</v>
      </c>
      <c r="N151" s="500" t="s">
        <v>168</v>
      </c>
      <c r="O151" s="500">
        <f>ROUND(IF(K151&lt;ClassSize,(1-(K151/200))*(VLOOKUP($B151,weights,3,FALSE))*K151,0),0)</f>
        <v>1109850</v>
      </c>
      <c r="P151" s="423" t="s">
        <v>169</v>
      </c>
      <c r="Q151" s="554">
        <f>O151+M151</f>
        <v>3350706.57</v>
      </c>
      <c r="R151" s="500"/>
      <c r="S151" s="500"/>
    </row>
    <row r="152" spans="1:19" ht="18" customHeight="1" x14ac:dyDescent="0.25">
      <c r="A152" s="607" t="s">
        <v>180</v>
      </c>
      <c r="B152" s="502"/>
      <c r="C152" s="502" t="s">
        <v>167</v>
      </c>
      <c r="D152" s="611"/>
      <c r="E152" s="472">
        <f>SUM(E149:E151)</f>
        <v>737</v>
      </c>
      <c r="F152" s="611"/>
      <c r="G152" s="611"/>
      <c r="H152" s="611"/>
      <c r="I152" s="611"/>
      <c r="J152" s="472">
        <f>SUM(J149:J151)</f>
        <v>0</v>
      </c>
      <c r="K152" s="638">
        <f>SUM(K149:K151)</f>
        <v>737</v>
      </c>
      <c r="L152" s="474"/>
      <c r="M152" s="475">
        <f>SUM(M149:M151)</f>
        <v>33704312.020000003</v>
      </c>
      <c r="N152" s="498"/>
      <c r="O152" s="558">
        <f>SUM(O149:O151)</f>
        <v>2594850</v>
      </c>
      <c r="P152" s="436"/>
      <c r="Q152" s="475">
        <f>SUM(Q149:Q151)</f>
        <v>36299162.020000003</v>
      </c>
      <c r="R152" s="477">
        <f>ROUND($Q152,0)</f>
        <v>36299162</v>
      </c>
      <c r="S152" s="477">
        <f>ROUND($Q152,0)</f>
        <v>36299162</v>
      </c>
    </row>
    <row r="153" spans="1:19" ht="18" customHeight="1" x14ac:dyDescent="0.2">
      <c r="A153" s="639"/>
      <c r="D153" s="490"/>
      <c r="E153" s="490"/>
      <c r="F153" s="490"/>
      <c r="G153" s="490"/>
      <c r="H153" s="490"/>
      <c r="I153" s="490"/>
      <c r="J153" s="490"/>
      <c r="M153" s="500"/>
      <c r="N153" s="500"/>
      <c r="O153" s="500"/>
      <c r="Q153" s="500"/>
      <c r="R153" s="500"/>
      <c r="S153" s="500"/>
    </row>
    <row r="154" spans="1:19" ht="18" customHeight="1" x14ac:dyDescent="0.2">
      <c r="A154" s="606" t="s">
        <v>279</v>
      </c>
      <c r="B154" s="417" t="s">
        <v>170</v>
      </c>
      <c r="D154" s="520"/>
      <c r="E154" s="520"/>
      <c r="F154" s="520"/>
      <c r="G154" s="490">
        <f>'Link Data'!G155+'Link Data'!G156</f>
        <v>1298</v>
      </c>
      <c r="H154" s="490">
        <f>'Link Data'!H155+'Link Data'!H156</f>
        <v>1044</v>
      </c>
      <c r="I154" s="490">
        <f>'Link Data'!K155+'Link Data'!K156</f>
        <v>6</v>
      </c>
      <c r="J154" s="490">
        <f>H154-I154</f>
        <v>1038</v>
      </c>
      <c r="K154" s="437">
        <f>ROUND(E154+F154+(D154/D$5)+(G154/G$5)+(J154/J$5),2)</f>
        <v>111.75</v>
      </c>
      <c r="L154" s="442">
        <f>VLOOKUP($B154,weights,2,FALSE)</f>
        <v>1.018</v>
      </c>
      <c r="M154" s="552">
        <f>ROUND(K154*L154*$M$5,2)</f>
        <v>1094574.8700000001</v>
      </c>
      <c r="N154" s="500" t="s">
        <v>168</v>
      </c>
      <c r="O154" s="495"/>
      <c r="P154" s="423" t="s">
        <v>169</v>
      </c>
      <c r="Q154" s="552">
        <f>O154+M154</f>
        <v>1094574.8700000001</v>
      </c>
      <c r="R154" s="500"/>
      <c r="S154" s="500"/>
    </row>
    <row r="155" spans="1:19" ht="18" customHeight="1" x14ac:dyDescent="0.2">
      <c r="A155" s="606" t="s">
        <v>280</v>
      </c>
      <c r="B155" s="417" t="s">
        <v>170</v>
      </c>
      <c r="D155" s="520"/>
      <c r="E155" s="520"/>
      <c r="F155" s="520"/>
      <c r="G155" s="490">
        <f>'Link Data'!G157</f>
        <v>0</v>
      </c>
      <c r="H155" s="490">
        <f>'Link Data'!H157</f>
        <v>0</v>
      </c>
      <c r="I155" s="490">
        <f>'Link Data'!K157</f>
        <v>0</v>
      </c>
      <c r="J155" s="490">
        <f>H155-I155</f>
        <v>0</v>
      </c>
      <c r="K155" s="437">
        <f>ROUND(E155+F155+(D155/D$5)+(G155/G$5)+(J155/J$5),2)</f>
        <v>0</v>
      </c>
      <c r="L155" s="442">
        <f>VLOOKUP($B155,weights,2,FALSE)</f>
        <v>1.018</v>
      </c>
      <c r="M155" s="554">
        <f>ROUND(K155*L155*$M$5,2)</f>
        <v>0</v>
      </c>
      <c r="N155" s="500" t="s">
        <v>168</v>
      </c>
      <c r="O155" s="500">
        <f>ROUND(IF(K155&lt;ClassSize,(1-(K155/200))*(VLOOKUP($B155,weights,3,FALSE))*K155,0),0)</f>
        <v>0</v>
      </c>
      <c r="P155" s="423" t="s">
        <v>169</v>
      </c>
      <c r="Q155" s="554">
        <f>O155+M155</f>
        <v>0</v>
      </c>
      <c r="R155" s="500"/>
      <c r="S155" s="500"/>
    </row>
    <row r="156" spans="1:19" ht="18" customHeight="1" x14ac:dyDescent="0.2">
      <c r="A156" s="606" t="s">
        <v>281</v>
      </c>
      <c r="B156" s="417" t="s">
        <v>170</v>
      </c>
      <c r="D156" s="520"/>
      <c r="E156" s="520"/>
      <c r="F156" s="520"/>
      <c r="G156" s="490">
        <f>'Link Data'!G158</f>
        <v>74</v>
      </c>
      <c r="H156" s="490">
        <f>'Link Data'!H158</f>
        <v>611</v>
      </c>
      <c r="I156" s="490">
        <f>'Link Data'!K158</f>
        <v>11</v>
      </c>
      <c r="J156" s="490">
        <f>H156-I156</f>
        <v>600</v>
      </c>
      <c r="K156" s="437">
        <f>ROUND(E156+F156+(D156/D$5)+(G156/G$5)+(J156/J$5),2)</f>
        <v>36.42</v>
      </c>
      <c r="L156" s="442">
        <f>VLOOKUP($B156,weights,2,FALSE)</f>
        <v>1.018</v>
      </c>
      <c r="M156" s="554">
        <f>ROUND(K156*L156*$M$5,2)</f>
        <v>356728.56</v>
      </c>
      <c r="N156" s="500" t="s">
        <v>168</v>
      </c>
      <c r="O156" s="500">
        <f>ROUND(IF(K156&lt;ClassSize,(1-(K156/200))*(VLOOKUP($B156,weights,3,FALSE))*K156,0),0)</f>
        <v>595758</v>
      </c>
      <c r="P156" s="423" t="s">
        <v>169</v>
      </c>
      <c r="Q156" s="554">
        <f>O156+M156</f>
        <v>952486.56</v>
      </c>
      <c r="R156" s="500"/>
      <c r="S156" s="500"/>
    </row>
    <row r="157" spans="1:19" ht="18" customHeight="1" x14ac:dyDescent="0.2">
      <c r="A157" s="606" t="s">
        <v>282</v>
      </c>
      <c r="B157" s="417" t="s">
        <v>170</v>
      </c>
      <c r="D157" s="520"/>
      <c r="E157" s="520"/>
      <c r="F157" s="520"/>
      <c r="G157" s="490">
        <f>'Link Data'!G159</f>
        <v>226</v>
      </c>
      <c r="H157" s="490">
        <f>'Link Data'!H159</f>
        <v>240</v>
      </c>
      <c r="I157" s="490">
        <f>'Link Data'!K159</f>
        <v>0</v>
      </c>
      <c r="J157" s="490">
        <f>H157-I157</f>
        <v>240</v>
      </c>
      <c r="K157" s="437">
        <f>ROUND(E157+F157+(D157/D$5)+(G157/G$5)+(J157/J$5),2)</f>
        <v>22.75</v>
      </c>
      <c r="L157" s="442">
        <f>VLOOKUP($B157,weights,2,FALSE)</f>
        <v>1.018</v>
      </c>
      <c r="M157" s="554">
        <f>ROUND(K157*L157*$M$5,2)</f>
        <v>222832.92</v>
      </c>
      <c r="N157" s="500" t="s">
        <v>168</v>
      </c>
      <c r="O157" s="500">
        <f>ROUND(IF(K157&lt;ClassSize,(1-(K157/200))*(VLOOKUP($B157,weights,3,FALSE))*K157,0),0)</f>
        <v>403244</v>
      </c>
      <c r="P157" s="423" t="s">
        <v>169</v>
      </c>
      <c r="Q157" s="554">
        <f>O157+M157</f>
        <v>626076.92000000004</v>
      </c>
      <c r="R157" s="500"/>
      <c r="S157" s="500"/>
    </row>
    <row r="158" spans="1:19" ht="18" customHeight="1" x14ac:dyDescent="0.25">
      <c r="A158" s="607" t="s">
        <v>195</v>
      </c>
      <c r="B158" s="502"/>
      <c r="C158" s="502" t="s">
        <v>171</v>
      </c>
      <c r="D158" s="611"/>
      <c r="E158" s="611"/>
      <c r="F158" s="611"/>
      <c r="G158" s="472">
        <f>SUM(G154:G157)</f>
        <v>1598</v>
      </c>
      <c r="H158" s="472">
        <f>SUM(H154:H157)</f>
        <v>1895</v>
      </c>
      <c r="I158" s="472">
        <f>SUM(I154:I157)</f>
        <v>17</v>
      </c>
      <c r="J158" s="472">
        <f>SUM(J154:J157)</f>
        <v>1878</v>
      </c>
      <c r="K158" s="638">
        <f>SUM(K154:K157)</f>
        <v>170.92000000000002</v>
      </c>
      <c r="L158" s="474"/>
      <c r="M158" s="475">
        <f>SUM(M154:M157)</f>
        <v>1674136.35</v>
      </c>
      <c r="N158" s="498"/>
      <c r="O158" s="558">
        <f>SUM(O154:O157)</f>
        <v>999002</v>
      </c>
      <c r="P158" s="436" t="s">
        <v>169</v>
      </c>
      <c r="Q158" s="475">
        <f>SUM(Q154:Q157)</f>
        <v>2673138.35</v>
      </c>
      <c r="R158" s="480">
        <f>ROUND($Q158,0)</f>
        <v>2673138</v>
      </c>
      <c r="S158" s="480">
        <f>ROUND($Q158,0)</f>
        <v>2673138</v>
      </c>
    </row>
    <row r="159" spans="1:19" ht="18" customHeight="1" x14ac:dyDescent="0.2">
      <c r="A159" s="606"/>
      <c r="B159" s="563"/>
      <c r="C159" s="563"/>
      <c r="D159" s="570"/>
      <c r="E159" s="570"/>
      <c r="F159" s="570"/>
      <c r="G159" s="570"/>
      <c r="H159" s="490"/>
      <c r="I159" s="490"/>
      <c r="J159" s="490"/>
      <c r="M159" s="495"/>
      <c r="N159" s="500"/>
      <c r="O159" s="495"/>
      <c r="Q159" s="495"/>
      <c r="R159" s="500"/>
      <c r="S159" s="500"/>
    </row>
    <row r="160" spans="1:19" ht="18" customHeight="1" x14ac:dyDescent="0.2">
      <c r="A160" s="606" t="s">
        <v>283</v>
      </c>
      <c r="B160" s="417" t="s">
        <v>172</v>
      </c>
      <c r="D160" s="490">
        <f>'Link Data'!F160+'Link Data'!F161</f>
        <v>9370</v>
      </c>
      <c r="E160" s="520"/>
      <c r="F160" s="520"/>
      <c r="G160" s="490">
        <f>'Link Data'!G160+'Link Data'!G161</f>
        <v>27930</v>
      </c>
      <c r="H160" s="490">
        <f>'Link Data'!H160+'Link Data'!H161</f>
        <v>2879</v>
      </c>
      <c r="I160" s="490">
        <f>'Link Data'!K160+'Link Data'!K161</f>
        <v>0</v>
      </c>
      <c r="J160" s="490">
        <f>H160-I160</f>
        <v>2879</v>
      </c>
      <c r="K160" s="437">
        <f>ROUND(E160+F160+(D160/D$5)+(G160/G$5)+(J160/J$5),2)</f>
        <v>1636.03</v>
      </c>
      <c r="L160" s="442">
        <f>VLOOKUP($B160,weights,2,FALSE)</f>
        <v>1</v>
      </c>
      <c r="M160" s="552">
        <f>ROUND(K160*L160*$M$5,2)</f>
        <v>15741330.15</v>
      </c>
      <c r="N160" s="500" t="s">
        <v>168</v>
      </c>
      <c r="O160" s="552">
        <f>ROUND(IF(K160&lt;ClassSize,(1-(K160/200))*(VLOOKUP($B160,weights,3,FALSE))*K160,0),0)</f>
        <v>0</v>
      </c>
      <c r="P160" s="423" t="s">
        <v>169</v>
      </c>
      <c r="Q160" s="552">
        <f>O160+M160</f>
        <v>15741330.15</v>
      </c>
      <c r="R160" s="500"/>
      <c r="S160" s="500"/>
    </row>
    <row r="161" spans="1:19" ht="18" customHeight="1" x14ac:dyDescent="0.2">
      <c r="A161" s="606" t="s">
        <v>284</v>
      </c>
      <c r="B161" s="417" t="s">
        <v>172</v>
      </c>
      <c r="D161" s="520"/>
      <c r="E161" s="520"/>
      <c r="F161" s="520"/>
      <c r="G161" s="490">
        <f>'Link Data'!G162</f>
        <v>1589</v>
      </c>
      <c r="H161" s="490">
        <f>'Link Data'!H162</f>
        <v>0</v>
      </c>
      <c r="I161" s="490">
        <f>'Link Data'!K162</f>
        <v>0</v>
      </c>
      <c r="J161" s="490">
        <f>H161-I161</f>
        <v>0</v>
      </c>
      <c r="K161" s="437">
        <f>ROUND(E161+F161+(D161/D$5)+(G161/G$5)+(J161/J$5),2)</f>
        <v>66.209999999999994</v>
      </c>
      <c r="L161" s="442">
        <f>VLOOKUP($B161,weights,2,FALSE)</f>
        <v>1</v>
      </c>
      <c r="M161" s="554">
        <f>ROUND(K161*L161*$M$5,2)</f>
        <v>637050.34</v>
      </c>
      <c r="N161" s="500" t="s">
        <v>168</v>
      </c>
      <c r="O161" s="500">
        <f>ROUND(IF(K161&lt;ClassSize,(1-(K161/200))*(VLOOKUP($B161,weights,3,FALSE))*K161,0),0)</f>
        <v>885824</v>
      </c>
      <c r="P161" s="423" t="s">
        <v>169</v>
      </c>
      <c r="Q161" s="554">
        <f>O161+M161</f>
        <v>1522874.3399999999</v>
      </c>
      <c r="R161" s="500"/>
      <c r="S161" s="500"/>
    </row>
    <row r="162" spans="1:19" ht="18" customHeight="1" x14ac:dyDescent="0.2">
      <c r="A162" s="606" t="s">
        <v>285</v>
      </c>
      <c r="B162" s="417" t="s">
        <v>172</v>
      </c>
      <c r="D162" s="520"/>
      <c r="E162" s="520"/>
      <c r="F162" s="520"/>
      <c r="G162" s="490">
        <f>'Link Data'!G163</f>
        <v>6966</v>
      </c>
      <c r="H162" s="490">
        <f>'Link Data'!H163</f>
        <v>0</v>
      </c>
      <c r="I162" s="490">
        <f>'Link Data'!K163</f>
        <v>0</v>
      </c>
      <c r="J162" s="490">
        <f>H162-I162</f>
        <v>0</v>
      </c>
      <c r="K162" s="437">
        <f>ROUND(E162+F162+(D162/D$5)+(G162/G$5)+(J162/J$5),2)</f>
        <v>290.25</v>
      </c>
      <c r="L162" s="442">
        <f>VLOOKUP($B162,weights,2,FALSE)</f>
        <v>1</v>
      </c>
      <c r="M162" s="554">
        <f>ROUND(K162*L162*$M$5,2)</f>
        <v>2792687.83</v>
      </c>
      <c r="N162" s="500" t="s">
        <v>168</v>
      </c>
      <c r="O162" s="500">
        <f>ROUND(IF(K162&lt;ClassSize,(1-(K162/200))*(VLOOKUP($B162,weights,3,FALSE))*K162,0),0)</f>
        <v>0</v>
      </c>
      <c r="P162" s="423" t="s">
        <v>169</v>
      </c>
      <c r="Q162" s="554">
        <f>O162+M162</f>
        <v>2792687.83</v>
      </c>
      <c r="R162" s="500"/>
      <c r="S162" s="500"/>
    </row>
    <row r="163" spans="1:19" ht="18" customHeight="1" x14ac:dyDescent="0.2">
      <c r="A163" s="640" t="s">
        <v>286</v>
      </c>
      <c r="B163" s="625" t="s">
        <v>172</v>
      </c>
      <c r="C163" s="625"/>
      <c r="D163" s="618"/>
      <c r="E163" s="618"/>
      <c r="F163" s="618"/>
      <c r="G163" s="490">
        <f>'Link Data'!G164</f>
        <v>1421</v>
      </c>
      <c r="H163" s="490">
        <f>'Link Data'!H164</f>
        <v>0</v>
      </c>
      <c r="I163" s="490">
        <f>'Link Data'!K164</f>
        <v>0</v>
      </c>
      <c r="J163" s="617">
        <f>H163-I163</f>
        <v>0</v>
      </c>
      <c r="K163" s="619">
        <f>ROUND(E163+F163+(D163/D$5)+(G163/G$5)+(J163/J$5),2)</f>
        <v>59.21</v>
      </c>
      <c r="L163" s="620">
        <f>VLOOKUP($B163,weights,2,FALSE)</f>
        <v>1</v>
      </c>
      <c r="M163" s="554">
        <f>ROUND(K163*L163*$M$5,2)</f>
        <v>569698.69999999995</v>
      </c>
      <c r="N163" s="622" t="s">
        <v>168</v>
      </c>
      <c r="O163" s="622">
        <f>ROUND(IF(K163&lt;ClassSize,(1-(K163/200))*(VLOOKUP($B163,weights,3,FALSE))*K163,0),0)</f>
        <v>833618</v>
      </c>
      <c r="P163" s="627" t="s">
        <v>169</v>
      </c>
      <c r="Q163" s="554">
        <f>O163+M163</f>
        <v>1403316.7</v>
      </c>
      <c r="R163" s="622"/>
      <c r="S163" s="622"/>
    </row>
    <row r="164" spans="1:19" ht="18" customHeight="1" x14ac:dyDescent="0.25">
      <c r="A164" s="607" t="s">
        <v>226</v>
      </c>
      <c r="B164" s="502"/>
      <c r="C164" s="502" t="s">
        <v>173</v>
      </c>
      <c r="D164" s="472">
        <f>SUM(D160:D163)</f>
        <v>9370</v>
      </c>
      <c r="E164" s="611"/>
      <c r="F164" s="611"/>
      <c r="G164" s="472">
        <f t="shared" ref="G164:J164" si="46">SUM(G160:G163)</f>
        <v>37906</v>
      </c>
      <c r="H164" s="472">
        <f t="shared" si="46"/>
        <v>2879</v>
      </c>
      <c r="I164" s="472">
        <f t="shared" si="46"/>
        <v>0</v>
      </c>
      <c r="J164" s="472">
        <f t="shared" si="46"/>
        <v>2879</v>
      </c>
      <c r="K164" s="638">
        <f>SUM(K160:K163)</f>
        <v>2051.6999999999998</v>
      </c>
      <c r="L164" s="474"/>
      <c r="M164" s="475">
        <f>SUM(M160:M163)</f>
        <v>19740767.02</v>
      </c>
      <c r="N164" s="498"/>
      <c r="O164" s="558">
        <f>SUM(O160:O163)</f>
        <v>1719442</v>
      </c>
      <c r="P164" s="436" t="s">
        <v>169</v>
      </c>
      <c r="Q164" s="475">
        <f>SUM(Q160:Q163)</f>
        <v>21460209.02</v>
      </c>
      <c r="R164" s="480">
        <f>ROUND($Q164,0)</f>
        <v>21460209</v>
      </c>
      <c r="S164" s="480">
        <f>ROUND($Q164,0)</f>
        <v>21460209</v>
      </c>
    </row>
    <row r="165" spans="1:19" ht="18" customHeight="1" x14ac:dyDescent="0.2">
      <c r="A165" s="641"/>
      <c r="D165" s="490"/>
      <c r="E165" s="490"/>
      <c r="F165" s="490"/>
      <c r="G165" s="490"/>
      <c r="H165" s="490"/>
      <c r="I165" s="490"/>
      <c r="J165" s="490"/>
      <c r="M165" s="500"/>
      <c r="N165" s="500"/>
      <c r="O165" s="500"/>
      <c r="Q165" s="500"/>
      <c r="R165" s="500"/>
      <c r="S165" s="500"/>
    </row>
    <row r="166" spans="1:19" ht="18" hidden="1" customHeight="1" x14ac:dyDescent="0.25">
      <c r="A166" s="642"/>
      <c r="D166" s="490"/>
      <c r="E166" s="490"/>
      <c r="F166" s="490"/>
      <c r="G166" s="437">
        <f>G161/G5</f>
        <v>66.208333333333329</v>
      </c>
      <c r="H166" s="490"/>
      <c r="I166" s="490"/>
      <c r="J166" s="490">
        <f>J161/J5</f>
        <v>0</v>
      </c>
      <c r="K166" s="437">
        <f>J166+G166</f>
        <v>66.208333333333329</v>
      </c>
      <c r="M166" s="552">
        <f>(G164/24)*L160*M5+G167+G169</f>
        <v>16916057.703690931</v>
      </c>
      <c r="N166" s="500"/>
      <c r="O166" s="643"/>
      <c r="Q166" s="613"/>
      <c r="R166" s="634"/>
      <c r="S166" s="634"/>
    </row>
    <row r="167" spans="1:19" ht="18" hidden="1" customHeight="1" x14ac:dyDescent="0.25">
      <c r="A167" s="642"/>
      <c r="D167" s="490"/>
      <c r="E167" s="490"/>
      <c r="F167" s="490"/>
      <c r="G167" s="490">
        <f>ROUND(G166/K166*O161,0)</f>
        <v>885824</v>
      </c>
      <c r="H167" s="490"/>
      <c r="I167" s="490"/>
      <c r="J167" s="490">
        <f>O161-G167</f>
        <v>0</v>
      </c>
      <c r="K167" s="417"/>
      <c r="M167" s="613"/>
      <c r="N167" s="500"/>
      <c r="O167" s="495">
        <f>J167+G167</f>
        <v>885824</v>
      </c>
      <c r="Q167" s="613"/>
      <c r="R167" s="634"/>
      <c r="S167" s="634"/>
    </row>
    <row r="168" spans="1:19" ht="18" hidden="1" customHeight="1" x14ac:dyDescent="0.25">
      <c r="A168" s="642"/>
      <c r="D168" s="490"/>
      <c r="E168" s="490"/>
      <c r="F168" s="490"/>
      <c r="G168" s="437">
        <f>G163/G5</f>
        <v>59.208333333333336</v>
      </c>
      <c r="H168" s="490"/>
      <c r="I168" s="490"/>
      <c r="J168" s="490">
        <f>J163/J5</f>
        <v>0</v>
      </c>
      <c r="K168" s="437">
        <f>J168+G168</f>
        <v>59.208333333333336</v>
      </c>
      <c r="M168" s="613"/>
      <c r="N168" s="500"/>
      <c r="O168" s="495"/>
      <c r="Q168" s="613"/>
      <c r="R168" s="634"/>
      <c r="S168" s="634"/>
    </row>
    <row r="169" spans="1:19" ht="18" hidden="1" customHeight="1" x14ac:dyDescent="0.25">
      <c r="A169" s="642"/>
      <c r="D169" s="490"/>
      <c r="E169" s="490"/>
      <c r="F169" s="490"/>
      <c r="G169" s="490">
        <f>ROUND(G168/K168*O163,0)</f>
        <v>833618</v>
      </c>
      <c r="H169" s="490"/>
      <c r="I169" s="490"/>
      <c r="J169" s="490">
        <f>O163-G169</f>
        <v>0</v>
      </c>
      <c r="K169" s="417"/>
      <c r="M169" s="613"/>
      <c r="N169" s="500"/>
      <c r="O169" s="495">
        <f>J169+G169</f>
        <v>833618</v>
      </c>
      <c r="Q169" s="613"/>
      <c r="R169" s="634"/>
      <c r="S169" s="634"/>
    </row>
    <row r="170" spans="1:19" ht="18" customHeight="1" x14ac:dyDescent="0.2">
      <c r="A170" s="641"/>
      <c r="D170" s="490"/>
      <c r="E170" s="490"/>
      <c r="F170" s="490"/>
      <c r="G170" s="490"/>
      <c r="H170" s="490"/>
      <c r="I170" s="490"/>
      <c r="J170" s="490"/>
      <c r="M170" s="500"/>
      <c r="N170" s="500"/>
      <c r="O170" s="500"/>
      <c r="Q170" s="500"/>
      <c r="R170" s="500"/>
      <c r="S170" s="500"/>
    </row>
    <row r="171" spans="1:19" ht="18" customHeight="1" x14ac:dyDescent="0.25">
      <c r="A171" s="606" t="s">
        <v>287</v>
      </c>
      <c r="B171" s="417" t="s">
        <v>181</v>
      </c>
      <c r="D171" s="490">
        <f>'Link Data'!F165+'Link Data'!F166</f>
        <v>34754</v>
      </c>
      <c r="E171" s="520"/>
      <c r="F171" s="520"/>
      <c r="G171" s="520"/>
      <c r="H171" s="520"/>
      <c r="I171" s="520"/>
      <c r="J171" s="490">
        <f>H171-I171</f>
        <v>0</v>
      </c>
      <c r="K171" s="437">
        <f>ROUND(E171+F171+(D171/D$5)+(G171/G$5)+(J171/J$5),2)</f>
        <v>1158.47</v>
      </c>
      <c r="L171" s="442">
        <f>VLOOKUP($B171,weights,2,FALSE)</f>
        <v>1.1379999999999999</v>
      </c>
      <c r="M171" s="552">
        <f>ROUND(K171*L171*$M$5,2)</f>
        <v>12684612.9</v>
      </c>
      <c r="N171" s="500" t="s">
        <v>168</v>
      </c>
      <c r="O171" s="508"/>
      <c r="P171" s="423" t="s">
        <v>169</v>
      </c>
      <c r="Q171" s="552">
        <f>O171+M171</f>
        <v>12684612.9</v>
      </c>
      <c r="R171" s="500"/>
      <c r="S171" s="500"/>
    </row>
    <row r="172" spans="1:19" ht="18" customHeight="1" x14ac:dyDescent="0.25">
      <c r="A172" s="606" t="s">
        <v>288</v>
      </c>
      <c r="B172" s="417" t="s">
        <v>181</v>
      </c>
      <c r="D172" s="490">
        <f>'Link Data'!F167</f>
        <v>8782</v>
      </c>
      <c r="E172" s="520"/>
      <c r="F172" s="520"/>
      <c r="G172" s="520"/>
      <c r="H172" s="520"/>
      <c r="I172" s="520"/>
      <c r="J172" s="490">
        <f>H172-I172</f>
        <v>0</v>
      </c>
      <c r="K172" s="437">
        <f>ROUND(E172+F172+(D172/D$5)+(G172/G$5)+(J172/J$5),2)</f>
        <v>292.73</v>
      </c>
      <c r="L172" s="442">
        <f>VLOOKUP($B172,weights,2,FALSE)</f>
        <v>1.1379999999999999</v>
      </c>
      <c r="M172" s="554">
        <f>ROUND(K172*L172*$M$5,2)</f>
        <v>3205233.4</v>
      </c>
      <c r="N172" s="500" t="s">
        <v>168</v>
      </c>
      <c r="O172" s="644">
        <f>ROUND(IF((K172+K177)&lt;ClassSize,(1-((K172+K177)/200))*(VLOOKUP($B172,weights,3,FALSE))*(K172+K177),0),0)</f>
        <v>0</v>
      </c>
      <c r="P172" s="423" t="s">
        <v>169</v>
      </c>
      <c r="Q172" s="554">
        <f>O172+M172</f>
        <v>3205233.4</v>
      </c>
      <c r="R172" s="500"/>
      <c r="S172" s="500"/>
    </row>
    <row r="173" spans="1:19" ht="18" customHeight="1" x14ac:dyDescent="0.25">
      <c r="A173" s="606" t="s">
        <v>289</v>
      </c>
      <c r="B173" s="417" t="s">
        <v>181</v>
      </c>
      <c r="D173" s="490">
        <f>'Link Data'!F169</f>
        <v>2362</v>
      </c>
      <c r="E173" s="520"/>
      <c r="F173" s="520"/>
      <c r="G173" s="520"/>
      <c r="H173" s="520"/>
      <c r="I173" s="520"/>
      <c r="J173" s="490">
        <f>H173-I173</f>
        <v>0</v>
      </c>
      <c r="K173" s="437">
        <f>ROUND(E173+F173+(D173/D$5)+(G173/G$5)+(J173/J$5),2)</f>
        <v>78.73</v>
      </c>
      <c r="L173" s="442">
        <f>VLOOKUP($B173,weights,2,FALSE)</f>
        <v>1.1379999999999999</v>
      </c>
      <c r="M173" s="554">
        <f>ROUND(K173*L173*$M$5,2)</f>
        <v>862050.44</v>
      </c>
      <c r="N173" s="500" t="s">
        <v>168</v>
      </c>
      <c r="O173" s="644">
        <f>ROUND(IF((K173+K178)&lt;ClassSize,(1-((K173+K178)/200))*(VLOOKUP($B173,weights,3,FALSE))*(K173+K178),0),0)</f>
        <v>954759</v>
      </c>
      <c r="P173" s="423" t="s">
        <v>169</v>
      </c>
      <c r="Q173" s="554">
        <f>O173+M173</f>
        <v>1816809.44</v>
      </c>
      <c r="R173" s="500"/>
      <c r="S173" s="500"/>
    </row>
    <row r="174" spans="1:19" ht="18" customHeight="1" x14ac:dyDescent="0.25">
      <c r="A174" s="607" t="s">
        <v>290</v>
      </c>
      <c r="B174" s="502"/>
      <c r="C174" s="502" t="s">
        <v>182</v>
      </c>
      <c r="D174" s="472">
        <f>SUM(D171:D173)</f>
        <v>45898</v>
      </c>
      <c r="E174" s="611"/>
      <c r="F174" s="611"/>
      <c r="G174" s="611"/>
      <c r="H174" s="611"/>
      <c r="I174" s="611"/>
      <c r="J174" s="472">
        <f>SUM(J171:J173)</f>
        <v>0</v>
      </c>
      <c r="K174" s="638">
        <f>SUM(K171:K173)</f>
        <v>1529.93</v>
      </c>
      <c r="L174" s="474"/>
      <c r="M174" s="475">
        <f>SUM(M171:M173)</f>
        <v>16751896.74</v>
      </c>
      <c r="N174" s="498"/>
      <c r="O174" s="558">
        <f>SUM(O171:O173)</f>
        <v>954759</v>
      </c>
      <c r="P174" s="436" t="s">
        <v>169</v>
      </c>
      <c r="Q174" s="610">
        <f>SUM(Q171:Q173)</f>
        <v>17706655.740000002</v>
      </c>
      <c r="R174" s="500"/>
      <c r="S174" s="500"/>
    </row>
    <row r="175" spans="1:19" ht="18" customHeight="1" x14ac:dyDescent="0.2">
      <c r="M175" s="500"/>
      <c r="N175" s="500"/>
      <c r="O175" s="500"/>
      <c r="Q175" s="500"/>
      <c r="R175" s="500"/>
      <c r="S175" s="500"/>
    </row>
    <row r="176" spans="1:19" ht="18" customHeight="1" x14ac:dyDescent="0.2">
      <c r="A176" s="606" t="s">
        <v>291</v>
      </c>
      <c r="B176" s="417" t="s">
        <v>184</v>
      </c>
      <c r="D176" s="520"/>
      <c r="E176" s="520"/>
      <c r="F176" s="520"/>
      <c r="G176" s="490">
        <f>'Link Data'!G165+'Link Data'!H166</f>
        <v>10908</v>
      </c>
      <c r="H176" s="490">
        <f>'Link Data'!H165+'Link Data'!I166</f>
        <v>2059</v>
      </c>
      <c r="I176" s="490">
        <f>'Link Data'!K165+'Link Data'!K166</f>
        <v>0</v>
      </c>
      <c r="J176" s="490">
        <f>H176-I176</f>
        <v>2059</v>
      </c>
      <c r="K176" s="437">
        <f>ROUND(E176+F176+(D176/D$5)+(G176/G$5)+(J176/J$5),2)</f>
        <v>568.89</v>
      </c>
      <c r="L176" s="442">
        <f>VLOOKUP($B176,weights,2,FALSE)</f>
        <v>1.1379999999999999</v>
      </c>
      <c r="M176" s="552">
        <f>ROUND(K176*L176*$M$5,2)</f>
        <v>6229034.3600000003</v>
      </c>
      <c r="N176" s="500" t="s">
        <v>168</v>
      </c>
      <c r="O176" s="500"/>
      <c r="P176" s="423" t="s">
        <v>169</v>
      </c>
      <c r="Q176" s="552">
        <f>O176+M176</f>
        <v>6229034.3600000003</v>
      </c>
      <c r="R176" s="500"/>
      <c r="S176" s="500"/>
    </row>
    <row r="177" spans="1:19" ht="18" customHeight="1" x14ac:dyDescent="0.2">
      <c r="A177" s="606" t="s">
        <v>292</v>
      </c>
      <c r="B177" s="417" t="s">
        <v>184</v>
      </c>
      <c r="D177" s="520"/>
      <c r="E177" s="520"/>
      <c r="F177" s="520"/>
      <c r="G177" s="490">
        <f>'Link Data'!G167</f>
        <v>0</v>
      </c>
      <c r="H177" s="490">
        <f>'Link Data'!H167</f>
        <v>0</v>
      </c>
      <c r="I177" s="490">
        <f>'Link Data'!K167</f>
        <v>0</v>
      </c>
      <c r="J177" s="490">
        <f>H177-I177</f>
        <v>0</v>
      </c>
      <c r="K177" s="437">
        <f>ROUND(E177+F177+(D177/D$5)+(G177/G$5)+(J177/J$5),2)</f>
        <v>0</v>
      </c>
      <c r="L177" s="442">
        <f>VLOOKUP($B177,weights,2,FALSE)</f>
        <v>1.1379999999999999</v>
      </c>
      <c r="M177" s="554">
        <f>ROUND(K177*L177*$M$5,2)</f>
        <v>0</v>
      </c>
      <c r="N177" s="500" t="s">
        <v>168</v>
      </c>
      <c r="O177" s="645">
        <v>0</v>
      </c>
      <c r="P177" s="423" t="s">
        <v>169</v>
      </c>
      <c r="Q177" s="554">
        <f>O177+M177</f>
        <v>0</v>
      </c>
      <c r="R177" s="500"/>
      <c r="S177" s="500"/>
    </row>
    <row r="178" spans="1:19" ht="18" customHeight="1" x14ac:dyDescent="0.2">
      <c r="A178" s="606" t="s">
        <v>293</v>
      </c>
      <c r="B178" s="417" t="s">
        <v>184</v>
      </c>
      <c r="D178" s="520"/>
      <c r="E178" s="520"/>
      <c r="F178" s="520"/>
      <c r="G178" s="490">
        <f>'Link Data'!G169</f>
        <v>0</v>
      </c>
      <c r="H178" s="490">
        <f>'Link Data'!H169</f>
        <v>0</v>
      </c>
      <c r="I178" s="490">
        <f>'Link Data'!K169</f>
        <v>0</v>
      </c>
      <c r="J178" s="490">
        <f>H178-I178</f>
        <v>0</v>
      </c>
      <c r="K178" s="437">
        <f>ROUND(E178+F178+(D178/D$5)+(G178/G$5)+(J178/J$5),2)</f>
        <v>0</v>
      </c>
      <c r="L178" s="442">
        <f>VLOOKUP($B178,weights,2,FALSE)</f>
        <v>1.1379999999999999</v>
      </c>
      <c r="M178" s="554">
        <f>ROUND(K178*L178*$M$5,2)</f>
        <v>0</v>
      </c>
      <c r="N178" s="500" t="s">
        <v>168</v>
      </c>
      <c r="O178" s="645">
        <v>0</v>
      </c>
      <c r="P178" s="423" t="s">
        <v>169</v>
      </c>
      <c r="Q178" s="554">
        <f>O178+M178</f>
        <v>0</v>
      </c>
      <c r="R178" s="500"/>
      <c r="S178" s="500"/>
    </row>
    <row r="179" spans="1:19" ht="18" customHeight="1" x14ac:dyDescent="0.25">
      <c r="A179" s="607" t="s">
        <v>294</v>
      </c>
      <c r="B179" s="502"/>
      <c r="C179" s="502" t="s">
        <v>185</v>
      </c>
      <c r="D179" s="611"/>
      <c r="E179" s="611"/>
      <c r="F179" s="611"/>
      <c r="G179" s="472">
        <f>SUM(G176:G178)</f>
        <v>10908</v>
      </c>
      <c r="H179" s="472">
        <f>SUM(H176:H178)</f>
        <v>2059</v>
      </c>
      <c r="I179" s="472">
        <f>SUM(I176:I178)</f>
        <v>0</v>
      </c>
      <c r="J179" s="472">
        <f>SUM(J176:J178)</f>
        <v>2059</v>
      </c>
      <c r="K179" s="638">
        <f>SUM(K176:K178)</f>
        <v>568.89</v>
      </c>
      <c r="L179" s="474"/>
      <c r="M179" s="475">
        <f>SUM(M176:M178)</f>
        <v>6229034.3600000003</v>
      </c>
      <c r="N179" s="498"/>
      <c r="O179" s="558">
        <f>SUM(O176:O178)</f>
        <v>0</v>
      </c>
      <c r="P179" s="436" t="s">
        <v>169</v>
      </c>
      <c r="Q179" s="475">
        <f>SUM(Q176:Q178)</f>
        <v>6229034.3600000003</v>
      </c>
      <c r="R179" s="480">
        <f>ROUND($Q179+$Q174,0)</f>
        <v>23935690</v>
      </c>
      <c r="S179" s="480">
        <f>ROUND($Q179+$Q174,0)</f>
        <v>23935690</v>
      </c>
    </row>
    <row r="180" spans="1:19" ht="18" customHeight="1" x14ac:dyDescent="0.2">
      <c r="A180" s="606"/>
      <c r="D180" s="570"/>
      <c r="E180" s="570"/>
      <c r="F180" s="570"/>
      <c r="G180" s="570"/>
      <c r="H180" s="490"/>
      <c r="I180" s="490"/>
      <c r="J180" s="490"/>
      <c r="M180" s="500"/>
      <c r="N180" s="500"/>
      <c r="O180" s="500"/>
      <c r="Q180" s="500"/>
      <c r="R180" s="500"/>
      <c r="S180" s="500"/>
    </row>
    <row r="181" spans="1:19" ht="18" hidden="1" customHeight="1" x14ac:dyDescent="0.2">
      <c r="A181" s="606"/>
      <c r="D181" s="570">
        <f>(D173+D172)/D5</f>
        <v>371.46666666666664</v>
      </c>
      <c r="E181" s="570"/>
      <c r="F181" s="570"/>
      <c r="G181" s="570">
        <f>(G178+G177)/G5</f>
        <v>0</v>
      </c>
      <c r="H181" s="490"/>
      <c r="I181" s="490"/>
      <c r="J181" s="490">
        <v>0</v>
      </c>
      <c r="K181" s="490">
        <f>J181+G181+D181</f>
        <v>371.46666666666664</v>
      </c>
      <c r="M181" s="500"/>
      <c r="N181" s="500"/>
      <c r="O181" s="500"/>
      <c r="Q181" s="500"/>
      <c r="R181" s="500"/>
      <c r="S181" s="500"/>
    </row>
    <row r="182" spans="1:19" ht="18" hidden="1" customHeight="1" x14ac:dyDescent="0.2">
      <c r="A182" s="606"/>
      <c r="D182" s="570"/>
      <c r="E182" s="570"/>
      <c r="F182" s="570"/>
      <c r="G182" s="570"/>
      <c r="H182" s="490"/>
      <c r="I182" s="490"/>
      <c r="J182" s="490"/>
      <c r="M182" s="500"/>
      <c r="N182" s="500"/>
      <c r="O182" s="500"/>
      <c r="Q182" s="500"/>
      <c r="R182" s="500"/>
      <c r="S182" s="500"/>
    </row>
    <row r="183" spans="1:19" ht="18" hidden="1" customHeight="1" x14ac:dyDescent="0.2">
      <c r="A183" s="606"/>
      <c r="D183" s="570">
        <f>ROUND((D181/K181)*O174,0)</f>
        <v>954759</v>
      </c>
      <c r="E183" s="570"/>
      <c r="F183" s="570"/>
      <c r="G183" s="570">
        <f>ROUND(G181/K181*O174,0)</f>
        <v>0</v>
      </c>
      <c r="H183" s="490"/>
      <c r="I183" s="490"/>
      <c r="J183" s="490">
        <f>ROUND(O174-G183-D183,0)</f>
        <v>0</v>
      </c>
      <c r="M183" s="500"/>
      <c r="N183" s="500"/>
      <c r="O183" s="500">
        <f>J183+G183+D183</f>
        <v>954759</v>
      </c>
      <c r="Q183" s="500"/>
      <c r="R183" s="500"/>
      <c r="S183" s="500"/>
    </row>
    <row r="184" spans="1:19" ht="18" customHeight="1" x14ac:dyDescent="0.2">
      <c r="A184" s="606"/>
      <c r="D184" s="570"/>
      <c r="E184" s="570"/>
      <c r="F184" s="570"/>
      <c r="G184" s="570"/>
      <c r="H184" s="490"/>
      <c r="I184" s="490"/>
      <c r="J184" s="490"/>
      <c r="M184" s="500"/>
      <c r="N184" s="500"/>
      <c r="O184" s="500"/>
      <c r="Q184" s="500"/>
      <c r="R184" s="500"/>
      <c r="S184" s="500"/>
    </row>
    <row r="185" spans="1:19" ht="18" customHeight="1" x14ac:dyDescent="0.2">
      <c r="A185" s="551" t="s">
        <v>295</v>
      </c>
      <c r="B185" s="417" t="s">
        <v>258</v>
      </c>
      <c r="D185" s="520"/>
      <c r="E185" s="520"/>
      <c r="F185" s="520"/>
      <c r="G185" s="490">
        <f>'Link Data'!G170</f>
        <v>1514</v>
      </c>
      <c r="H185" s="520"/>
      <c r="I185" s="520"/>
      <c r="J185" s="490">
        <f>H185-I185</f>
        <v>0</v>
      </c>
      <c r="K185" s="437">
        <f>ROUND(E185+F185+(D185/D$5)+(G185/G$5)+(J185/J$5),2)</f>
        <v>63.08</v>
      </c>
      <c r="L185" s="442">
        <f>VLOOKUP($B185,weights,2,FALSE)</f>
        <v>1.67</v>
      </c>
      <c r="M185" s="552">
        <f>ROUND(K185*L185*$M$5,2)</f>
        <v>1013580.67</v>
      </c>
      <c r="N185" s="500" t="s">
        <v>168</v>
      </c>
      <c r="O185" s="495"/>
      <c r="P185" s="423" t="s">
        <v>169</v>
      </c>
      <c r="Q185" s="552">
        <f>O185+M185</f>
        <v>1013580.67</v>
      </c>
      <c r="R185" s="500"/>
      <c r="S185" s="500"/>
    </row>
    <row r="186" spans="1:19" ht="18" customHeight="1" x14ac:dyDescent="0.2">
      <c r="A186" s="551" t="s">
        <v>296</v>
      </c>
      <c r="B186" s="417" t="s">
        <v>258</v>
      </c>
      <c r="D186" s="520"/>
      <c r="E186" s="520"/>
      <c r="F186" s="520"/>
      <c r="G186" s="490">
        <f>'Link Data'!G171+'Link Data'!G172</f>
        <v>6863</v>
      </c>
      <c r="H186" s="520"/>
      <c r="I186" s="520"/>
      <c r="J186" s="490">
        <f>H186-I186</f>
        <v>0</v>
      </c>
      <c r="K186" s="437">
        <f>ROUND(E186+F186+(D186/D$5)+(G186/G$5)+(J186/J$5),2)</f>
        <v>285.95999999999998</v>
      </c>
      <c r="L186" s="442">
        <f>VLOOKUP($B186,weights,2,FALSE)</f>
        <v>1.67</v>
      </c>
      <c r="M186" s="554">
        <f>ROUND(K186*L186*$M$5,2)</f>
        <v>4594856.2</v>
      </c>
      <c r="N186" s="500" t="s">
        <v>168</v>
      </c>
      <c r="O186" s="500">
        <f>ROUND(IF(K186&lt;ClassSize,(1-(K186/200))*(VLOOKUP($B186,weights,3,FALSE))*K186,0),0)</f>
        <v>0</v>
      </c>
      <c r="P186" s="423" t="s">
        <v>169</v>
      </c>
      <c r="Q186" s="554">
        <f>O186+M186</f>
        <v>4594856.2</v>
      </c>
      <c r="R186" s="500"/>
      <c r="S186" s="500"/>
    </row>
    <row r="187" spans="1:19" ht="18" customHeight="1" x14ac:dyDescent="0.2">
      <c r="A187" s="551" t="s">
        <v>297</v>
      </c>
      <c r="B187" s="417" t="s">
        <v>258</v>
      </c>
      <c r="D187" s="520"/>
      <c r="E187" s="520"/>
      <c r="F187" s="520"/>
      <c r="G187" s="490">
        <f>'Link Data'!G173</f>
        <v>5459</v>
      </c>
      <c r="H187" s="520"/>
      <c r="I187" s="520"/>
      <c r="J187" s="490">
        <f>H187-I187</f>
        <v>0</v>
      </c>
      <c r="K187" s="437">
        <f>ROUND(E187+F187+(D187/D$5)+(G187/G$5)+(J187/J$5),2)</f>
        <v>227.46</v>
      </c>
      <c r="L187" s="442">
        <f>VLOOKUP($B187,weights,2,FALSE)</f>
        <v>1.67</v>
      </c>
      <c r="M187" s="554">
        <f>ROUND(K187*L187*$M$5,2)</f>
        <v>3654867.78</v>
      </c>
      <c r="N187" s="500" t="s">
        <v>168</v>
      </c>
      <c r="O187" s="500">
        <f>ROUND(IF(K187&lt;ClassSize,(1-(K187/200))*(VLOOKUP($B187,weights,3,FALSE))*K187,0),0)</f>
        <v>0</v>
      </c>
      <c r="P187" s="423" t="s">
        <v>169</v>
      </c>
      <c r="Q187" s="554">
        <f>O187+M187</f>
        <v>3654867.78</v>
      </c>
      <c r="R187" s="500"/>
      <c r="S187" s="500"/>
    </row>
    <row r="188" spans="1:19" ht="18" customHeight="1" x14ac:dyDescent="0.2">
      <c r="A188" s="551" t="s">
        <v>298</v>
      </c>
      <c r="B188" s="417" t="s">
        <v>258</v>
      </c>
      <c r="D188" s="520"/>
      <c r="E188" s="520"/>
      <c r="F188" s="520"/>
      <c r="G188" s="490">
        <f>'Link Data'!G174</f>
        <v>10007</v>
      </c>
      <c r="H188" s="520"/>
      <c r="I188" s="520"/>
      <c r="J188" s="490">
        <f>H188-I188</f>
        <v>0</v>
      </c>
      <c r="K188" s="437">
        <f>ROUND(E188+F188+(D188/D$5)+(G188/G$5)+(J188/J$5),2)</f>
        <v>416.96</v>
      </c>
      <c r="L188" s="442">
        <f>VLOOKUP($B188,weights,2,FALSE)</f>
        <v>1.67</v>
      </c>
      <c r="M188" s="554">
        <f>ROUND(K188*L188*$M$5,2)</f>
        <v>6699787.5199999996</v>
      </c>
      <c r="N188" s="500" t="s">
        <v>168</v>
      </c>
      <c r="O188" s="500">
        <f>ROUND(IF(K188&lt;ClassSize,(1-(K188/200))*(VLOOKUP($B188,weights,3,FALSE))*K188,0),0)</f>
        <v>0</v>
      </c>
      <c r="P188" s="423" t="s">
        <v>169</v>
      </c>
      <c r="Q188" s="554">
        <f>O188+M188</f>
        <v>6699787.5199999996</v>
      </c>
      <c r="R188" s="500"/>
      <c r="S188" s="500"/>
    </row>
    <row r="189" spans="1:19" ht="18" customHeight="1" x14ac:dyDescent="0.25">
      <c r="A189" s="557" t="s">
        <v>260</v>
      </c>
      <c r="B189" s="502"/>
      <c r="C189" s="502" t="s">
        <v>261</v>
      </c>
      <c r="D189" s="611"/>
      <c r="E189" s="611"/>
      <c r="F189" s="611"/>
      <c r="G189" s="472">
        <f>SUM(G185:G188)</f>
        <v>23843</v>
      </c>
      <c r="H189" s="611"/>
      <c r="I189" s="611"/>
      <c r="J189" s="472">
        <f>SUM(J185:J188)</f>
        <v>0</v>
      </c>
      <c r="K189" s="638">
        <f>SUM(K185:K188)</f>
        <v>993.46</v>
      </c>
      <c r="L189" s="474"/>
      <c r="M189" s="475">
        <f>SUM(M185:M188)</f>
        <v>15963092.17</v>
      </c>
      <c r="N189" s="498"/>
      <c r="O189" s="558">
        <f>SUM(O185:O188)</f>
        <v>0</v>
      </c>
      <c r="P189" s="436" t="s">
        <v>169</v>
      </c>
      <c r="Q189" s="475">
        <f>SUM(Q185:Q188)</f>
        <v>15963092.17</v>
      </c>
      <c r="R189" s="480">
        <f>ROUND($Q189,0)</f>
        <v>15963092</v>
      </c>
      <c r="S189" s="480">
        <f>ROUND($Q189,0)</f>
        <v>15963092</v>
      </c>
    </row>
    <row r="190" spans="1:19" s="417" customFormat="1" ht="18" customHeight="1" x14ac:dyDescent="0.25">
      <c r="A190" s="646"/>
      <c r="D190" s="490"/>
      <c r="E190" s="490"/>
      <c r="F190" s="490"/>
      <c r="G190" s="490"/>
      <c r="H190" s="490"/>
      <c r="I190" s="490"/>
      <c r="J190" s="490"/>
      <c r="K190" s="647"/>
      <c r="L190" s="442"/>
      <c r="M190" s="613"/>
      <c r="N190" s="500"/>
      <c r="O190" s="643"/>
      <c r="P190" s="423"/>
      <c r="Q190" s="613"/>
      <c r="R190" s="500"/>
      <c r="S190" s="500"/>
    </row>
    <row r="191" spans="1:19" ht="18" customHeight="1" x14ac:dyDescent="0.25">
      <c r="A191" s="648" t="s">
        <v>299</v>
      </c>
      <c r="B191" s="529" t="s">
        <v>187</v>
      </c>
      <c r="C191" s="546"/>
      <c r="D191" s="471"/>
      <c r="E191" s="471"/>
      <c r="F191" s="471"/>
      <c r="G191" s="472">
        <f>'Link Data'!G175+'Link Data'!G176</f>
        <v>2086</v>
      </c>
      <c r="H191" s="472">
        <f>'Link Data'!H175+'Link Data'!H176</f>
        <v>0</v>
      </c>
      <c r="I191" s="472">
        <f>'Link Data'!K174+'Link Data'!K176</f>
        <v>0</v>
      </c>
      <c r="J191" s="472">
        <f>H191-I191</f>
        <v>0</v>
      </c>
      <c r="K191" s="473">
        <f>ROUND(E191+F191+(D191/D$5)+(G191/G$5)+(J191/J$5),2)</f>
        <v>86.92</v>
      </c>
      <c r="L191" s="474">
        <f>VLOOKUP($B191,weights,2,FALSE)</f>
        <v>1.7210000000000001</v>
      </c>
      <c r="M191" s="499">
        <f>ROUND(K191*L191*$M$5,2)</f>
        <v>1439298.1</v>
      </c>
      <c r="N191" s="498" t="s">
        <v>168</v>
      </c>
      <c r="O191" s="479">
        <v>0</v>
      </c>
      <c r="P191" s="436" t="s">
        <v>169</v>
      </c>
      <c r="Q191" s="499">
        <f>O191+M191</f>
        <v>1439298.1</v>
      </c>
      <c r="R191" s="500"/>
      <c r="S191" s="500"/>
    </row>
    <row r="192" spans="1:19" ht="18" customHeight="1" x14ac:dyDescent="0.2">
      <c r="A192" s="648" t="s">
        <v>300</v>
      </c>
      <c r="B192" s="529" t="s">
        <v>187</v>
      </c>
      <c r="C192" s="546"/>
      <c r="D192" s="471"/>
      <c r="E192" s="471"/>
      <c r="F192" s="471"/>
      <c r="G192" s="472">
        <f>'Link Data'!G177</f>
        <v>228</v>
      </c>
      <c r="H192" s="472">
        <f>'Link Data'!H175</f>
        <v>0</v>
      </c>
      <c r="I192" s="472">
        <f>'Link Data'!K175</f>
        <v>0</v>
      </c>
      <c r="J192" s="472">
        <f>H192-I192</f>
        <v>0</v>
      </c>
      <c r="K192" s="473">
        <f>ROUND(E192+F192+(D192/D$5)+(G192/G$5)+(J192/J$5),2)</f>
        <v>9.5</v>
      </c>
      <c r="L192" s="474">
        <f>VLOOKUP($B192,weights,2,FALSE)</f>
        <v>1.7210000000000001</v>
      </c>
      <c r="M192" s="499">
        <f>ROUND(K192*L192*$M$5,2)</f>
        <v>157309.39000000001</v>
      </c>
      <c r="N192" s="498" t="s">
        <v>168</v>
      </c>
      <c r="O192" s="500">
        <f>ROUND(IF(K192&lt;ClassSize,(1-(K192/200))*(VLOOKUP($B192,weights,3,FALSE))*K192,0),0)</f>
        <v>180975</v>
      </c>
      <c r="P192" s="436" t="s">
        <v>169</v>
      </c>
      <c r="Q192" s="499">
        <f>O192+M192</f>
        <v>338284.39</v>
      </c>
      <c r="R192" s="500"/>
      <c r="S192" s="500"/>
    </row>
    <row r="193" spans="1:19" ht="18" customHeight="1" x14ac:dyDescent="0.25">
      <c r="A193" s="557" t="s">
        <v>211</v>
      </c>
      <c r="B193" s="529"/>
      <c r="C193" s="546" t="s">
        <v>188</v>
      </c>
      <c r="D193" s="471"/>
      <c r="E193" s="471"/>
      <c r="F193" s="471"/>
      <c r="G193" s="472">
        <f>SUM(G191:G192)</f>
        <v>2314</v>
      </c>
      <c r="H193" s="472">
        <f>SUM(H191:H192)</f>
        <v>0</v>
      </c>
      <c r="I193" s="472">
        <f>SUM(I191:I192)</f>
        <v>0</v>
      </c>
      <c r="J193" s="472">
        <f>SUM(J191:J192)</f>
        <v>0</v>
      </c>
      <c r="K193" s="638">
        <f>SUM(K191:K192)</f>
        <v>96.42</v>
      </c>
      <c r="L193" s="474"/>
      <c r="M193" s="499">
        <f>SUM(M191:M192)</f>
        <v>1596607.4900000002</v>
      </c>
      <c r="N193" s="498"/>
      <c r="O193" s="499">
        <f>SUM(O191:O192)</f>
        <v>180975</v>
      </c>
      <c r="P193" s="436"/>
      <c r="Q193" s="478">
        <f>SUM(Q191:Q192)</f>
        <v>1777582.4900000002</v>
      </c>
      <c r="R193" s="480">
        <f>ROUND($Q193,0)</f>
        <v>1777582</v>
      </c>
      <c r="S193" s="480">
        <f>ROUND($Q193,0)</f>
        <v>1777582</v>
      </c>
    </row>
    <row r="194" spans="1:19" s="417" customFormat="1" ht="18" customHeight="1" x14ac:dyDescent="0.25">
      <c r="A194" s="646"/>
      <c r="D194" s="490"/>
      <c r="E194" s="490"/>
      <c r="F194" s="490"/>
      <c r="G194" s="490"/>
      <c r="H194" s="490"/>
      <c r="I194" s="490"/>
      <c r="J194" s="490"/>
      <c r="K194" s="647"/>
      <c r="L194" s="442"/>
      <c r="M194" s="613"/>
      <c r="N194" s="500"/>
      <c r="O194" s="643"/>
      <c r="P194" s="423"/>
      <c r="Q194" s="613"/>
      <c r="R194" s="500"/>
      <c r="S194" s="500"/>
    </row>
    <row r="195" spans="1:19" ht="18" customHeight="1" x14ac:dyDescent="0.25">
      <c r="A195" s="559" t="s">
        <v>301</v>
      </c>
      <c r="B195" s="417" t="s">
        <v>175</v>
      </c>
      <c r="C195" s="649" t="s">
        <v>302</v>
      </c>
      <c r="D195" s="472">
        <f t="shared" ref="D195:M195" si="47">D189+D179+D174+D164+D158+D152+D193</f>
        <v>55268</v>
      </c>
      <c r="E195" s="472">
        <f t="shared" si="47"/>
        <v>737</v>
      </c>
      <c r="F195" s="472">
        <f t="shared" si="47"/>
        <v>0</v>
      </c>
      <c r="G195" s="472">
        <f t="shared" si="47"/>
        <v>76569</v>
      </c>
      <c r="H195" s="472">
        <f t="shared" si="47"/>
        <v>6833</v>
      </c>
      <c r="I195" s="472">
        <f t="shared" si="47"/>
        <v>17</v>
      </c>
      <c r="J195" s="472">
        <f t="shared" si="47"/>
        <v>6816</v>
      </c>
      <c r="K195" s="650">
        <f t="shared" si="47"/>
        <v>6148.32</v>
      </c>
      <c r="L195" s="474">
        <f t="shared" si="47"/>
        <v>0</v>
      </c>
      <c r="M195" s="486">
        <f t="shared" si="47"/>
        <v>95659846.150000006</v>
      </c>
      <c r="N195" s="432"/>
      <c r="O195" s="521">
        <f>O189+O179+O174+O164+O158+O152+O193</f>
        <v>6449028</v>
      </c>
      <c r="P195" s="436"/>
      <c r="Q195" s="497">
        <f>Q189+Q179+Q174+Q164+Q158+Q152+Q193</f>
        <v>102108874.15000001</v>
      </c>
      <c r="R195" s="489">
        <f>R189+R179+R174+R164+R158+R152+R193</f>
        <v>102108873</v>
      </c>
      <c r="S195" s="489">
        <f>S189+S179+S174+S164+S158+S152+S193</f>
        <v>102108873</v>
      </c>
    </row>
    <row r="196" spans="1:19" s="417" customFormat="1" ht="18" customHeight="1" x14ac:dyDescent="0.25">
      <c r="A196" s="589"/>
      <c r="D196" s="490"/>
      <c r="E196" s="490"/>
      <c r="F196" s="490"/>
      <c r="G196" s="490"/>
      <c r="H196" s="490"/>
      <c r="I196" s="490"/>
      <c r="J196" s="490"/>
      <c r="K196" s="437" t="str">
        <f>IF(K195='Link Data'!M179,"","Error")</f>
        <v/>
      </c>
      <c r="L196" s="442"/>
      <c r="M196" s="613"/>
      <c r="N196" s="432"/>
      <c r="O196" s="643"/>
      <c r="P196" s="423"/>
      <c r="Q196" s="552"/>
      <c r="R196" s="495"/>
      <c r="S196" s="495"/>
    </row>
    <row r="197" spans="1:19" ht="18" customHeight="1" x14ac:dyDescent="0.25">
      <c r="D197" s="490"/>
      <c r="E197" s="490"/>
      <c r="F197" s="490"/>
      <c r="G197" s="490"/>
      <c r="H197" s="490"/>
      <c r="I197" s="490"/>
      <c r="J197" s="490"/>
      <c r="M197" s="491"/>
    </row>
    <row r="198" spans="1:19" ht="18" customHeight="1" x14ac:dyDescent="0.25">
      <c r="A198" s="468" t="s">
        <v>303</v>
      </c>
      <c r="B198" s="469"/>
      <c r="C198" s="469"/>
      <c r="D198" s="494"/>
      <c r="E198" s="494"/>
      <c r="F198" s="494"/>
      <c r="G198" s="494"/>
      <c r="H198" s="490"/>
      <c r="I198" s="490"/>
      <c r="J198" s="490"/>
      <c r="M198" s="491"/>
    </row>
    <row r="199" spans="1:19" ht="18" customHeight="1" x14ac:dyDescent="0.2">
      <c r="A199" s="606" t="s">
        <v>304</v>
      </c>
      <c r="B199" s="417" t="s">
        <v>166</v>
      </c>
      <c r="D199" s="520"/>
      <c r="E199" s="490">
        <f>'Link Data'!I183</f>
        <v>425</v>
      </c>
      <c r="F199" s="520"/>
      <c r="G199" s="520"/>
      <c r="H199" s="520"/>
      <c r="I199" s="520"/>
      <c r="J199" s="490">
        <f>H199-I199</f>
        <v>0</v>
      </c>
      <c r="K199" s="437">
        <f>ROUND(E199+F199+(D199/D$5)+(G199/G$5)+(J199/J$5),2)</f>
        <v>425</v>
      </c>
      <c r="L199" s="442">
        <f>VLOOKUP($B199,weights,2,FALSE)</f>
        <v>4.7530000000000001</v>
      </c>
      <c r="M199" s="554">
        <f>ROUND(K199*L199*$M$5,2)</f>
        <v>19436000.829999998</v>
      </c>
      <c r="N199" s="500" t="s">
        <v>168</v>
      </c>
      <c r="O199" s="500">
        <f>ROUND(IF(K199&lt;ClassSize,(1-(K199/200))*(VLOOKUP($B199,weights,3,FALSE))*K199,0),0)</f>
        <v>0</v>
      </c>
      <c r="P199" s="423" t="s">
        <v>169</v>
      </c>
      <c r="Q199" s="554">
        <f>O199+M199</f>
        <v>19436000.829999998</v>
      </c>
      <c r="R199" s="500"/>
      <c r="S199" s="500"/>
    </row>
    <row r="200" spans="1:19" ht="18" customHeight="1" x14ac:dyDescent="0.25">
      <c r="A200" s="607" t="s">
        <v>180</v>
      </c>
      <c r="B200" s="502"/>
      <c r="C200" s="502" t="s">
        <v>167</v>
      </c>
      <c r="D200" s="611"/>
      <c r="E200" s="472">
        <f>SUM(E199:E199)</f>
        <v>425</v>
      </c>
      <c r="F200" s="611"/>
      <c r="G200" s="611"/>
      <c r="H200" s="611"/>
      <c r="I200" s="611"/>
      <c r="J200" s="472">
        <f>SUM(J199:J199)</f>
        <v>0</v>
      </c>
      <c r="K200" s="638">
        <f>SUM(K199:K199)</f>
        <v>425</v>
      </c>
      <c r="L200" s="474"/>
      <c r="M200" s="475">
        <f>SUM(M199:M199)</f>
        <v>19436000.829999998</v>
      </c>
      <c r="N200" s="498"/>
      <c r="O200" s="558">
        <f>SUM(O199:O199)</f>
        <v>0</v>
      </c>
      <c r="P200" s="436"/>
      <c r="Q200" s="475">
        <f>SUM(Q199:Q199)</f>
        <v>19436000.829999998</v>
      </c>
      <c r="R200" s="477">
        <f>ROUND($Q200,0)</f>
        <v>19436001</v>
      </c>
      <c r="S200" s="477">
        <f>ROUND($Q200,0)</f>
        <v>19436001</v>
      </c>
    </row>
    <row r="201" spans="1:19" ht="18" customHeight="1" x14ac:dyDescent="0.2">
      <c r="A201" s="639"/>
      <c r="D201" s="490"/>
      <c r="E201" s="490"/>
      <c r="F201" s="490"/>
      <c r="G201" s="490"/>
      <c r="H201" s="490"/>
      <c r="I201" s="490"/>
      <c r="J201" s="490"/>
      <c r="M201" s="500"/>
      <c r="N201" s="500"/>
      <c r="O201" s="500"/>
      <c r="Q201" s="500"/>
      <c r="R201" s="500"/>
      <c r="S201" s="500"/>
    </row>
    <row r="202" spans="1:19" ht="18" customHeight="1" x14ac:dyDescent="0.2">
      <c r="A202" s="606" t="s">
        <v>305</v>
      </c>
      <c r="B202" s="417" t="s">
        <v>170</v>
      </c>
      <c r="D202" s="520"/>
      <c r="E202" s="520"/>
      <c r="F202" s="520"/>
      <c r="G202" s="490">
        <f>'Link Data'!G185</f>
        <v>1029</v>
      </c>
      <c r="H202" s="490">
        <f>'Link Data'!H185</f>
        <v>0</v>
      </c>
      <c r="I202" s="490">
        <f>'Link Data'!I185</f>
        <v>0</v>
      </c>
      <c r="J202" s="490">
        <f>H202-I202</f>
        <v>0</v>
      </c>
      <c r="K202" s="437">
        <f>ROUND(E202+F202+(D202/D$5)+(G202/G$5)+(J202/J$5),2)</f>
        <v>42.88</v>
      </c>
      <c r="L202" s="442">
        <f>VLOOKUP($B202,weights,2,FALSE)</f>
        <v>1.018</v>
      </c>
      <c r="M202" s="554">
        <f>ROUND(K202*L202*$M$5,2)</f>
        <v>420003.32</v>
      </c>
      <c r="N202" s="500" t="s">
        <v>168</v>
      </c>
      <c r="O202" s="500"/>
      <c r="P202" s="423" t="s">
        <v>169</v>
      </c>
      <c r="Q202" s="554">
        <f>O202+M202</f>
        <v>420003.32</v>
      </c>
      <c r="R202" s="500"/>
      <c r="S202" s="500"/>
    </row>
    <row r="203" spans="1:19" ht="18" customHeight="1" x14ac:dyDescent="0.25">
      <c r="A203" s="607" t="s">
        <v>195</v>
      </c>
      <c r="B203" s="502"/>
      <c r="C203" s="502" t="s">
        <v>171</v>
      </c>
      <c r="D203" s="611"/>
      <c r="E203" s="611"/>
      <c r="F203" s="611"/>
      <c r="G203" s="472">
        <f>SUM(G202:G202)</f>
        <v>1029</v>
      </c>
      <c r="H203" s="472">
        <f>SUM(H202:H202)</f>
        <v>0</v>
      </c>
      <c r="I203" s="472">
        <f>SUM(I202:I202)</f>
        <v>0</v>
      </c>
      <c r="J203" s="472">
        <f>SUM(J202:J202)</f>
        <v>0</v>
      </c>
      <c r="K203" s="638">
        <f>SUM(K202:K202)</f>
        <v>42.88</v>
      </c>
      <c r="L203" s="474"/>
      <c r="M203" s="475">
        <f>SUM(M202:M202)</f>
        <v>420003.32</v>
      </c>
      <c r="N203" s="498"/>
      <c r="O203" s="558">
        <f>SUM(O202:O202)</f>
        <v>0</v>
      </c>
      <c r="P203" s="436" t="s">
        <v>169</v>
      </c>
      <c r="Q203" s="475">
        <f>SUM(Q202:Q202)</f>
        <v>420003.32</v>
      </c>
      <c r="R203" s="480">
        <f>ROUND($Q203,0)</f>
        <v>420003</v>
      </c>
      <c r="S203" s="480">
        <f>ROUND($Q203,0)</f>
        <v>420003</v>
      </c>
    </row>
    <row r="204" spans="1:19" ht="18" customHeight="1" x14ac:dyDescent="0.2">
      <c r="A204" s="606"/>
      <c r="B204" s="563"/>
      <c r="C204" s="563"/>
      <c r="D204" s="570"/>
      <c r="E204" s="570"/>
      <c r="F204" s="570"/>
      <c r="G204" s="570"/>
      <c r="H204" s="490"/>
      <c r="I204" s="490"/>
      <c r="J204" s="490"/>
      <c r="M204" s="495"/>
      <c r="N204" s="500"/>
      <c r="O204" s="495"/>
      <c r="Q204" s="495"/>
      <c r="R204" s="500"/>
      <c r="S204" s="500"/>
    </row>
    <row r="205" spans="1:19" ht="18" customHeight="1" x14ac:dyDescent="0.2">
      <c r="A205" s="640"/>
      <c r="B205" s="625" t="s">
        <v>172</v>
      </c>
      <c r="C205" s="625"/>
      <c r="D205" s="618"/>
      <c r="E205" s="618"/>
      <c r="F205" s="618"/>
      <c r="G205" s="490"/>
      <c r="H205" s="490"/>
      <c r="I205" s="490"/>
      <c r="J205" s="617">
        <f>H205-I205</f>
        <v>0</v>
      </c>
      <c r="K205" s="619">
        <f>ROUND(E205+F205+(D205/D$5)+(G205/G$5)+(J205/J$5),2)</f>
        <v>0</v>
      </c>
      <c r="L205" s="620">
        <f>VLOOKUP($B205,weights,2,FALSE)</f>
        <v>1</v>
      </c>
      <c r="M205" s="554">
        <f>ROUND(K205*L205*$M$5,2)</f>
        <v>0</v>
      </c>
      <c r="N205" s="622" t="s">
        <v>168</v>
      </c>
      <c r="O205" s="622">
        <f>ROUND(IF(K205&lt;ClassSize,(1-(K205/200))*(VLOOKUP($B205,weights,3,FALSE))*K205,0),0)</f>
        <v>0</v>
      </c>
      <c r="P205" s="627" t="s">
        <v>169</v>
      </c>
      <c r="Q205" s="554">
        <f>O205+M205</f>
        <v>0</v>
      </c>
      <c r="R205" s="622"/>
      <c r="S205" s="622"/>
    </row>
    <row r="206" spans="1:19" ht="18" customHeight="1" x14ac:dyDescent="0.25">
      <c r="A206" s="607" t="s">
        <v>226</v>
      </c>
      <c r="B206" s="502"/>
      <c r="C206" s="502" t="s">
        <v>173</v>
      </c>
      <c r="D206" s="472">
        <f>SUM(D205:D205)</f>
        <v>0</v>
      </c>
      <c r="E206" s="611"/>
      <c r="F206" s="611"/>
      <c r="G206" s="472">
        <f>SUM(G205:G205)</f>
        <v>0</v>
      </c>
      <c r="H206" s="472">
        <f>SUM(H205:H205)</f>
        <v>0</v>
      </c>
      <c r="I206" s="472">
        <f>SUM(I205:I205)</f>
        <v>0</v>
      </c>
      <c r="J206" s="472">
        <f>SUM(J205:J205)</f>
        <v>0</v>
      </c>
      <c r="K206" s="638">
        <f>SUM(K205:K205)</f>
        <v>0</v>
      </c>
      <c r="L206" s="474"/>
      <c r="M206" s="475">
        <f>SUM(M205:M205)</f>
        <v>0</v>
      </c>
      <c r="N206" s="498"/>
      <c r="O206" s="558">
        <f>SUM(O205:O205)</f>
        <v>0</v>
      </c>
      <c r="P206" s="436" t="s">
        <v>169</v>
      </c>
      <c r="Q206" s="475">
        <f>SUM(Q205:Q205)</f>
        <v>0</v>
      </c>
      <c r="R206" s="480">
        <f>ROUND($Q206,0)</f>
        <v>0</v>
      </c>
      <c r="S206" s="480">
        <f>ROUND($Q206,0)</f>
        <v>0</v>
      </c>
    </row>
    <row r="207" spans="1:19" ht="18" customHeight="1" x14ac:dyDescent="0.2">
      <c r="A207" s="641"/>
      <c r="D207" s="490"/>
      <c r="E207" s="490"/>
      <c r="F207" s="490"/>
      <c r="G207" s="490"/>
      <c r="H207" s="490"/>
      <c r="I207" s="490"/>
      <c r="J207" s="490"/>
      <c r="M207" s="500"/>
      <c r="N207" s="500"/>
      <c r="O207" s="500"/>
      <c r="Q207" s="500"/>
      <c r="R207" s="500"/>
      <c r="S207" s="500"/>
    </row>
    <row r="208" spans="1:19" ht="18" customHeight="1" x14ac:dyDescent="0.25">
      <c r="A208" s="606" t="s">
        <v>306</v>
      </c>
      <c r="B208" s="417" t="s">
        <v>181</v>
      </c>
      <c r="D208" s="490">
        <f>'Link Data'!F184</f>
        <v>11061</v>
      </c>
      <c r="E208" s="520"/>
      <c r="F208" s="520"/>
      <c r="G208" s="520"/>
      <c r="H208" s="520"/>
      <c r="I208" s="520"/>
      <c r="J208" s="490">
        <f>H208-I208</f>
        <v>0</v>
      </c>
      <c r="K208" s="437">
        <f>ROUND(E208+F208+(D208/D$5)+(G208/G$5)+(J208/J$5),2)</f>
        <v>368.7</v>
      </c>
      <c r="L208" s="442">
        <f>VLOOKUP($B208,weights,2,FALSE)</f>
        <v>1.1379999999999999</v>
      </c>
      <c r="M208" s="554">
        <f>ROUND(K208*L208*$M$5,2)</f>
        <v>4037063.35</v>
      </c>
      <c r="N208" s="500" t="s">
        <v>168</v>
      </c>
      <c r="O208" s="651"/>
      <c r="P208" s="423" t="s">
        <v>169</v>
      </c>
      <c r="Q208" s="554">
        <f>O208+M208</f>
        <v>4037063.35</v>
      </c>
      <c r="R208" s="500"/>
      <c r="S208" s="500"/>
    </row>
    <row r="209" spans="1:19" ht="18" customHeight="1" x14ac:dyDescent="0.25">
      <c r="A209" s="607" t="s">
        <v>290</v>
      </c>
      <c r="B209" s="502"/>
      <c r="C209" s="502" t="s">
        <v>182</v>
      </c>
      <c r="D209" s="472">
        <f>SUM(D208:D208)</f>
        <v>11061</v>
      </c>
      <c r="E209" s="611"/>
      <c r="F209" s="611"/>
      <c r="G209" s="611"/>
      <c r="H209" s="611"/>
      <c r="I209" s="611"/>
      <c r="J209" s="472">
        <f>SUM(J208:J208)</f>
        <v>0</v>
      </c>
      <c r="K209" s="638">
        <f>SUM(K208:K208)</f>
        <v>368.7</v>
      </c>
      <c r="L209" s="474"/>
      <c r="M209" s="475">
        <f>SUM(M208:M208)</f>
        <v>4037063.35</v>
      </c>
      <c r="N209" s="498"/>
      <c r="O209" s="558">
        <f>SUM(O208:O208)</f>
        <v>0</v>
      </c>
      <c r="P209" s="436" t="s">
        <v>169</v>
      </c>
      <c r="Q209" s="610">
        <f>SUM(Q208:Q208)</f>
        <v>4037063.35</v>
      </c>
      <c r="R209" s="500"/>
      <c r="S209" s="500"/>
    </row>
    <row r="210" spans="1:19" ht="18" customHeight="1" x14ac:dyDescent="0.2">
      <c r="M210" s="500"/>
      <c r="N210" s="500"/>
      <c r="O210" s="500"/>
      <c r="Q210" s="500"/>
      <c r="R210" s="500"/>
      <c r="S210" s="500"/>
    </row>
    <row r="211" spans="1:19" ht="18" customHeight="1" x14ac:dyDescent="0.2">
      <c r="A211" s="606" t="s">
        <v>307</v>
      </c>
      <c r="B211" s="417" t="s">
        <v>184</v>
      </c>
      <c r="D211" s="520"/>
      <c r="E211" s="520"/>
      <c r="F211" s="520"/>
      <c r="G211" s="490">
        <f>'Link Data'!G184</f>
        <v>87</v>
      </c>
      <c r="H211" s="490">
        <f>'Link Data'!H184</f>
        <v>0</v>
      </c>
      <c r="I211" s="490">
        <f>'Link Data'!K184</f>
        <v>0</v>
      </c>
      <c r="J211" s="490">
        <f>H211-I211</f>
        <v>0</v>
      </c>
      <c r="K211" s="437">
        <f>ROUND(E211+F211+(D211/D$5)+(G211/G$5)+(J211/J$5),2)</f>
        <v>3.63</v>
      </c>
      <c r="L211" s="442">
        <f>VLOOKUP($B211,weights,2,FALSE)</f>
        <v>1.1379999999999999</v>
      </c>
      <c r="M211" s="554">
        <f>ROUND(K211*L211*$M$5,2)</f>
        <v>39746.51</v>
      </c>
      <c r="N211" s="500" t="s">
        <v>168</v>
      </c>
      <c r="O211" s="500"/>
      <c r="P211" s="423" t="s">
        <v>169</v>
      </c>
      <c r="Q211" s="554">
        <f>O211+M211</f>
        <v>39746.51</v>
      </c>
      <c r="R211" s="500"/>
      <c r="S211" s="500"/>
    </row>
    <row r="212" spans="1:19" ht="18" customHeight="1" x14ac:dyDescent="0.25">
      <c r="A212" s="607" t="s">
        <v>294</v>
      </c>
      <c r="B212" s="502"/>
      <c r="C212" s="502" t="s">
        <v>185</v>
      </c>
      <c r="D212" s="611"/>
      <c r="E212" s="611"/>
      <c r="F212" s="611"/>
      <c r="G212" s="472">
        <f>SUM(G211:G211)</f>
        <v>87</v>
      </c>
      <c r="H212" s="472">
        <f>SUM(H211:H211)</f>
        <v>0</v>
      </c>
      <c r="I212" s="472">
        <f>SUM(I211:I211)</f>
        <v>0</v>
      </c>
      <c r="J212" s="472">
        <f>SUM(J211:J211)</f>
        <v>0</v>
      </c>
      <c r="K212" s="638">
        <f>SUM(K211:K211)</f>
        <v>3.63</v>
      </c>
      <c r="L212" s="474"/>
      <c r="M212" s="475">
        <f>SUM(M211:M211)</f>
        <v>39746.51</v>
      </c>
      <c r="N212" s="498"/>
      <c r="O212" s="558">
        <f>SUM(O211:O211)</f>
        <v>0</v>
      </c>
      <c r="P212" s="436" t="s">
        <v>169</v>
      </c>
      <c r="Q212" s="475">
        <f>SUM(Q211:Q211)</f>
        <v>39746.51</v>
      </c>
      <c r="R212" s="480">
        <f>ROUND($Q212+$Q209,0)</f>
        <v>4076810</v>
      </c>
      <c r="S212" s="480">
        <f>ROUND($Q212+$Q209,0)</f>
        <v>4076810</v>
      </c>
    </row>
    <row r="213" spans="1:19" s="417" customFormat="1" ht="18" customHeight="1" x14ac:dyDescent="0.25">
      <c r="A213" s="615"/>
      <c r="D213" s="490"/>
      <c r="E213" s="490"/>
      <c r="F213" s="490"/>
      <c r="G213" s="490"/>
      <c r="H213" s="490"/>
      <c r="I213" s="490"/>
      <c r="J213" s="490"/>
      <c r="K213" s="647"/>
      <c r="L213" s="442"/>
      <c r="M213" s="613"/>
      <c r="N213" s="500"/>
      <c r="O213" s="643"/>
      <c r="P213" s="423"/>
      <c r="Q213" s="613"/>
      <c r="R213" s="500"/>
      <c r="S213" s="500"/>
    </row>
    <row r="214" spans="1:19" s="417" customFormat="1" ht="18" hidden="1" customHeight="1" x14ac:dyDescent="0.25">
      <c r="A214" s="615"/>
      <c r="D214" s="570">
        <f>D208/D5</f>
        <v>368.7</v>
      </c>
      <c r="E214" s="570"/>
      <c r="F214" s="570"/>
      <c r="G214" s="570">
        <f>G212/G5</f>
        <v>3.625</v>
      </c>
      <c r="H214" s="490"/>
      <c r="I214" s="490"/>
      <c r="J214" s="490">
        <f>J212/J5</f>
        <v>0</v>
      </c>
      <c r="K214" s="437">
        <f>J214+G214+D214</f>
        <v>372.32499999999999</v>
      </c>
      <c r="L214" s="442"/>
      <c r="M214" s="500"/>
      <c r="N214" s="500"/>
      <c r="O214" s="500"/>
      <c r="P214" s="423"/>
      <c r="Q214" s="613"/>
      <c r="R214" s="500"/>
      <c r="S214" s="500"/>
    </row>
    <row r="215" spans="1:19" s="417" customFormat="1" ht="18" hidden="1" customHeight="1" x14ac:dyDescent="0.25">
      <c r="A215" s="615"/>
      <c r="D215" s="570">
        <f>ROUND(D214/K214*O208,0)</f>
        <v>0</v>
      </c>
      <c r="E215" s="570"/>
      <c r="F215" s="570"/>
      <c r="G215" s="570">
        <f>ROUND(G214/K214*O208,0)</f>
        <v>0</v>
      </c>
      <c r="H215" s="490"/>
      <c r="I215" s="490"/>
      <c r="J215" s="490">
        <f>ROUND(O208-G215-D215,0)</f>
        <v>0</v>
      </c>
      <c r="K215" s="437"/>
      <c r="L215" s="442"/>
      <c r="M215" s="500"/>
      <c r="N215" s="500"/>
      <c r="O215" s="500">
        <f>J215+G215+D215</f>
        <v>0</v>
      </c>
      <c r="P215" s="423"/>
      <c r="Q215" s="613"/>
      <c r="R215" s="500"/>
      <c r="S215" s="500"/>
    </row>
    <row r="216" spans="1:19" ht="18" customHeight="1" x14ac:dyDescent="0.2">
      <c r="A216" s="606"/>
      <c r="D216" s="570"/>
      <c r="E216" s="570"/>
      <c r="F216" s="570"/>
      <c r="G216" s="570"/>
      <c r="H216" s="490"/>
      <c r="I216" s="490"/>
      <c r="J216" s="490"/>
      <c r="M216" s="500"/>
      <c r="N216" s="500"/>
      <c r="O216" s="500"/>
      <c r="Q216" s="500"/>
      <c r="R216" s="500"/>
      <c r="S216" s="500"/>
    </row>
    <row r="217" spans="1:19" ht="18" customHeight="1" x14ac:dyDescent="0.2">
      <c r="A217" s="551" t="s">
        <v>104</v>
      </c>
      <c r="B217" s="417" t="s">
        <v>258</v>
      </c>
      <c r="D217" s="520"/>
      <c r="E217" s="520"/>
      <c r="F217" s="520"/>
      <c r="G217" s="490"/>
      <c r="H217" s="520"/>
      <c r="I217" s="520"/>
      <c r="J217" s="490">
        <f>H217-I217</f>
        <v>0</v>
      </c>
      <c r="K217" s="437">
        <f>ROUND(E217+F217+(D217/D$5)+(G217/G$5)+(J217/J$5),2)</f>
        <v>0</v>
      </c>
      <c r="L217" s="442">
        <f>VLOOKUP($B217,weights,2,FALSE)</f>
        <v>1.67</v>
      </c>
      <c r="M217" s="554">
        <f>ROUND(K217*L217*$M$5,2)</f>
        <v>0</v>
      </c>
      <c r="N217" s="500" t="s">
        <v>168</v>
      </c>
      <c r="O217" s="500">
        <f>ROUND(IF(K217&lt;ClassSize,(1-(K217/200))*(VLOOKUP($B217,weights,3,FALSE))*K217,0),0)</f>
        <v>0</v>
      </c>
      <c r="P217" s="423" t="s">
        <v>169</v>
      </c>
      <c r="Q217" s="554">
        <f>O217+M217</f>
        <v>0</v>
      </c>
      <c r="R217" s="500"/>
      <c r="S217" s="500"/>
    </row>
    <row r="218" spans="1:19" ht="18" customHeight="1" x14ac:dyDescent="0.25">
      <c r="A218" s="652" t="s">
        <v>260</v>
      </c>
      <c r="B218" s="653"/>
      <c r="C218" s="653" t="s">
        <v>261</v>
      </c>
      <c r="D218" s="654"/>
      <c r="E218" s="654"/>
      <c r="F218" s="654"/>
      <c r="G218" s="655">
        <f>SUM(G217:G217)</f>
        <v>0</v>
      </c>
      <c r="H218" s="654"/>
      <c r="I218" s="654"/>
      <c r="J218" s="655">
        <f>SUM(J217:J217)</f>
        <v>0</v>
      </c>
      <c r="K218" s="656">
        <f>SUM(K217:K217)</f>
        <v>0</v>
      </c>
      <c r="L218" s="657"/>
      <c r="M218" s="658">
        <f>SUM(M217:M217)</f>
        <v>0</v>
      </c>
      <c r="N218" s="538"/>
      <c r="O218" s="659">
        <f>SUM(O217:O217)</f>
        <v>0</v>
      </c>
      <c r="P218" s="452" t="s">
        <v>169</v>
      </c>
      <c r="Q218" s="658">
        <f>SUM(Q217:Q217)</f>
        <v>0</v>
      </c>
      <c r="R218" s="540">
        <f>ROUND($Q218,0)</f>
        <v>0</v>
      </c>
      <c r="S218" s="540">
        <f>ROUND($Q218,0)</f>
        <v>0</v>
      </c>
    </row>
    <row r="219" spans="1:19" s="417" customFormat="1" ht="18" customHeight="1" thickBot="1" x14ac:dyDescent="0.3">
      <c r="A219" s="646"/>
      <c r="D219" s="490"/>
      <c r="E219" s="490"/>
      <c r="F219" s="490"/>
      <c r="G219" s="490"/>
      <c r="H219" s="490"/>
      <c r="I219" s="490"/>
      <c r="J219" s="490"/>
      <c r="K219" s="647"/>
      <c r="L219" s="442"/>
      <c r="M219" s="613"/>
      <c r="N219" s="500"/>
      <c r="O219" s="643"/>
      <c r="P219" s="423"/>
      <c r="Q219" s="613"/>
      <c r="R219" s="500"/>
      <c r="S219" s="500"/>
    </row>
    <row r="220" spans="1:19" ht="18" customHeight="1" thickBot="1" x14ac:dyDescent="0.3">
      <c r="A220" s="660" t="s">
        <v>308</v>
      </c>
      <c r="B220" s="529" t="s">
        <v>175</v>
      </c>
      <c r="C220" s="529" t="s">
        <v>309</v>
      </c>
      <c r="D220" s="472">
        <f t="shared" ref="D220:J220" si="48">D212+D209+D200+D218+D206+D203</f>
        <v>11061</v>
      </c>
      <c r="E220" s="472">
        <f t="shared" si="48"/>
        <v>425</v>
      </c>
      <c r="F220" s="472">
        <f t="shared" si="48"/>
        <v>0</v>
      </c>
      <c r="G220" s="472">
        <f t="shared" si="48"/>
        <v>1116</v>
      </c>
      <c r="H220" s="472">
        <f t="shared" si="48"/>
        <v>0</v>
      </c>
      <c r="I220" s="472">
        <f t="shared" si="48"/>
        <v>0</v>
      </c>
      <c r="J220" s="472">
        <f t="shared" si="48"/>
        <v>0</v>
      </c>
      <c r="K220" s="484">
        <f>K212+K209+K200+K218+K206+K203</f>
        <v>840.20999999999992</v>
      </c>
      <c r="L220" s="474"/>
      <c r="M220" s="486">
        <f>M212+M209+M200+M218+M206+M203</f>
        <v>23932814.009999998</v>
      </c>
      <c r="N220" s="534"/>
      <c r="O220" s="521">
        <f>O212+O209+O200+O218+O206+O203</f>
        <v>0</v>
      </c>
      <c r="P220" s="436" t="s">
        <v>169</v>
      </c>
      <c r="Q220" s="497">
        <f>Q212+Q209+Q200+Q218+Q206+Q203</f>
        <v>23932814.009999998</v>
      </c>
      <c r="R220" s="489">
        <f>SUM(R199:R218)</f>
        <v>23932814</v>
      </c>
      <c r="S220" s="489">
        <f>SUM(S199:S218)</f>
        <v>23932814</v>
      </c>
    </row>
    <row r="221" spans="1:19" ht="18" customHeight="1" x14ac:dyDescent="0.25">
      <c r="D221" s="490"/>
      <c r="E221" s="490"/>
      <c r="F221" s="490"/>
      <c r="G221" s="490"/>
      <c r="H221" s="490"/>
      <c r="I221" s="490"/>
      <c r="J221" s="490"/>
      <c r="K221" s="437" t="str">
        <f>IF(K220='Link Data'!M187,"","Error")</f>
        <v/>
      </c>
      <c r="M221" s="491"/>
    </row>
    <row r="222" spans="1:19" ht="18" customHeight="1" x14ac:dyDescent="0.25">
      <c r="D222" s="490"/>
      <c r="E222" s="490"/>
      <c r="F222" s="490"/>
      <c r="G222" s="490"/>
      <c r="H222" s="490"/>
      <c r="I222" s="490"/>
      <c r="J222" s="490"/>
      <c r="M222" s="491"/>
    </row>
    <row r="223" spans="1:19" ht="18" customHeight="1" x14ac:dyDescent="0.25">
      <c r="D223" s="490"/>
      <c r="E223" s="490"/>
      <c r="F223" s="490"/>
      <c r="G223" s="490"/>
      <c r="H223" s="490"/>
      <c r="I223" s="490"/>
      <c r="J223" s="490"/>
      <c r="M223" s="491"/>
    </row>
    <row r="224" spans="1:19" ht="18" customHeight="1" x14ac:dyDescent="0.25">
      <c r="A224" s="468" t="s">
        <v>310</v>
      </c>
      <c r="B224" s="469"/>
      <c r="C224" s="469"/>
      <c r="D224" s="494"/>
      <c r="E224" s="494"/>
      <c r="F224" s="494"/>
      <c r="G224" s="494"/>
      <c r="H224" s="490"/>
      <c r="I224" s="490"/>
      <c r="J224" s="490"/>
      <c r="M224" s="491"/>
    </row>
    <row r="225" spans="1:19" ht="18" customHeight="1" x14ac:dyDescent="0.2">
      <c r="A225" s="606" t="s">
        <v>311</v>
      </c>
      <c r="B225" s="417" t="s">
        <v>166</v>
      </c>
      <c r="D225" s="520"/>
      <c r="E225" s="490">
        <f>'Link Data'!$I$191</f>
        <v>194</v>
      </c>
      <c r="F225" s="520"/>
      <c r="G225" s="520"/>
      <c r="H225" s="520"/>
      <c r="I225" s="520"/>
      <c r="J225" s="490">
        <f>H225-I225</f>
        <v>0</v>
      </c>
      <c r="K225" s="437">
        <f>ROUND(E225+F225+(D225/D$5)+(G225/G$5)+(J225/J$5),2)</f>
        <v>194</v>
      </c>
      <c r="L225" s="442">
        <f>VLOOKUP($B225,weights,2,FALSE)</f>
        <v>4.7530000000000001</v>
      </c>
      <c r="M225" s="552">
        <f>ROUND(K225*L225*$M$5,2)</f>
        <v>8871962.7300000004</v>
      </c>
      <c r="N225" s="500" t="s">
        <v>168</v>
      </c>
      <c r="O225" s="495"/>
      <c r="P225" s="423" t="s">
        <v>169</v>
      </c>
      <c r="Q225" s="552">
        <f>O225+M225</f>
        <v>8871962.7300000004</v>
      </c>
      <c r="R225" s="500"/>
      <c r="S225" s="500"/>
    </row>
    <row r="226" spans="1:19" ht="18" customHeight="1" x14ac:dyDescent="0.2">
      <c r="A226" s="606"/>
      <c r="D226" s="520"/>
      <c r="E226" s="490"/>
      <c r="F226" s="520"/>
      <c r="G226" s="520"/>
      <c r="H226" s="520"/>
      <c r="I226" s="520"/>
      <c r="J226" s="490"/>
      <c r="M226" s="554"/>
      <c r="N226" s="500"/>
      <c r="O226" s="500"/>
      <c r="Q226" s="554"/>
      <c r="R226" s="500"/>
      <c r="S226" s="500"/>
    </row>
    <row r="227" spans="1:19" ht="18" customHeight="1" x14ac:dyDescent="0.25">
      <c r="A227" s="607" t="s">
        <v>180</v>
      </c>
      <c r="B227" s="502"/>
      <c r="C227" s="502" t="s">
        <v>167</v>
      </c>
      <c r="D227" s="611"/>
      <c r="E227" s="472">
        <f>SUM(E225:E226)</f>
        <v>194</v>
      </c>
      <c r="F227" s="611"/>
      <c r="G227" s="611"/>
      <c r="H227" s="611"/>
      <c r="I227" s="611"/>
      <c r="J227" s="472">
        <f>SUM(J225:J226)</f>
        <v>0</v>
      </c>
      <c r="K227" s="638">
        <f>SUM(K225:K226)</f>
        <v>194</v>
      </c>
      <c r="L227" s="474"/>
      <c r="M227" s="475">
        <f>SUM(M225:M226)</f>
        <v>8871962.7300000004</v>
      </c>
      <c r="N227" s="498"/>
      <c r="O227" s="558">
        <f>SUM(O225:O226)</f>
        <v>0</v>
      </c>
      <c r="P227" s="436"/>
      <c r="Q227" s="475">
        <f>SUM(Q225:Q226)</f>
        <v>8871962.7300000004</v>
      </c>
      <c r="R227" s="477">
        <f>ROUND($Q227,0)</f>
        <v>8871963</v>
      </c>
      <c r="S227" s="477">
        <f>ROUND($Q227,0)</f>
        <v>8871963</v>
      </c>
    </row>
    <row r="228" spans="1:19" ht="18" hidden="1" customHeight="1" outlineLevel="1" x14ac:dyDescent="0.2">
      <c r="A228" s="639"/>
      <c r="D228" s="490"/>
      <c r="E228" s="490"/>
      <c r="F228" s="490"/>
      <c r="G228" s="490"/>
      <c r="H228" s="490"/>
      <c r="I228" s="490"/>
      <c r="J228" s="490"/>
      <c r="M228" s="500"/>
      <c r="N228" s="500"/>
      <c r="O228" s="500"/>
      <c r="Q228" s="500"/>
      <c r="R228" s="500"/>
      <c r="S228" s="500"/>
    </row>
    <row r="229" spans="1:19" ht="18" hidden="1" customHeight="1" outlineLevel="1" x14ac:dyDescent="0.2">
      <c r="A229" s="606" t="s">
        <v>312</v>
      </c>
      <c r="B229" s="417" t="s">
        <v>170</v>
      </c>
      <c r="D229" s="520"/>
      <c r="E229" s="520"/>
      <c r="F229" s="520"/>
      <c r="G229" s="490"/>
      <c r="H229" s="490"/>
      <c r="I229" s="490"/>
      <c r="J229" s="490">
        <f>H229-I229</f>
        <v>0</v>
      </c>
      <c r="K229" s="437">
        <f>ROUND(E229+F229+(D229/D$5)+(G229/G$5)+(J229/J$5),2)</f>
        <v>0</v>
      </c>
      <c r="L229" s="442">
        <f>VLOOKUP($B229,weights,2,FALSE)</f>
        <v>1.018</v>
      </c>
      <c r="M229" s="552">
        <f>ROUND(K229*L229*$M$5,2)</f>
        <v>0</v>
      </c>
      <c r="N229" s="500" t="s">
        <v>168</v>
      </c>
      <c r="O229" s="495"/>
      <c r="P229" s="423" t="s">
        <v>169</v>
      </c>
      <c r="Q229" s="552">
        <f>O229+M229</f>
        <v>0</v>
      </c>
      <c r="R229" s="500"/>
      <c r="S229" s="500"/>
    </row>
    <row r="230" spans="1:19" ht="18" hidden="1" customHeight="1" outlineLevel="1" x14ac:dyDescent="0.2">
      <c r="A230" s="606"/>
      <c r="D230" s="520"/>
      <c r="E230" s="520"/>
      <c r="F230" s="520"/>
      <c r="G230" s="490"/>
      <c r="H230" s="490"/>
      <c r="I230" s="490"/>
      <c r="J230" s="490"/>
      <c r="M230" s="554"/>
      <c r="N230" s="500"/>
      <c r="O230" s="500"/>
      <c r="Q230" s="554"/>
      <c r="R230" s="500"/>
      <c r="S230" s="500"/>
    </row>
    <row r="231" spans="1:19" ht="18" hidden="1" customHeight="1" outlineLevel="1" x14ac:dyDescent="0.25">
      <c r="A231" s="607" t="s">
        <v>195</v>
      </c>
      <c r="B231" s="502"/>
      <c r="C231" s="502" t="s">
        <v>171</v>
      </c>
      <c r="D231" s="611"/>
      <c r="E231" s="611"/>
      <c r="F231" s="611"/>
      <c r="G231" s="472">
        <f>SUM(G229:G230)</f>
        <v>0</v>
      </c>
      <c r="H231" s="472">
        <f>SUM(H229:H230)</f>
        <v>0</v>
      </c>
      <c r="I231" s="472">
        <f>SUM(I229:I230)</f>
        <v>0</v>
      </c>
      <c r="J231" s="472">
        <f>SUM(J229:J230)</f>
        <v>0</v>
      </c>
      <c r="K231" s="638">
        <f>SUM(K229:K230)</f>
        <v>0</v>
      </c>
      <c r="L231" s="474"/>
      <c r="M231" s="475">
        <f>SUM(M229:M230)</f>
        <v>0</v>
      </c>
      <c r="N231" s="498"/>
      <c r="O231" s="558">
        <f>SUM(O229:O230)</f>
        <v>0</v>
      </c>
      <c r="P231" s="436" t="s">
        <v>169</v>
      </c>
      <c r="Q231" s="475">
        <f>SUM(Q229:Q230)</f>
        <v>0</v>
      </c>
      <c r="R231" s="480">
        <f>ROUND($Q231,0)</f>
        <v>0</v>
      </c>
      <c r="S231" s="480">
        <f>ROUND($Q231,0)</f>
        <v>0</v>
      </c>
    </row>
    <row r="232" spans="1:19" ht="18" hidden="1" customHeight="1" outlineLevel="1" x14ac:dyDescent="0.2">
      <c r="A232" s="606"/>
      <c r="B232" s="563"/>
      <c r="C232" s="563"/>
      <c r="D232" s="570"/>
      <c r="E232" s="570"/>
      <c r="F232" s="570"/>
      <c r="G232" s="570"/>
      <c r="H232" s="490"/>
      <c r="I232" s="490"/>
      <c r="J232" s="490"/>
      <c r="M232" s="495"/>
      <c r="N232" s="500"/>
      <c r="O232" s="495"/>
      <c r="Q232" s="495"/>
      <c r="R232" s="500"/>
      <c r="S232" s="500"/>
    </row>
    <row r="233" spans="1:19" ht="18" hidden="1" customHeight="1" outlineLevel="1" x14ac:dyDescent="0.2">
      <c r="A233" s="606" t="s">
        <v>313</v>
      </c>
      <c r="B233" s="417" t="s">
        <v>172</v>
      </c>
      <c r="D233" s="490"/>
      <c r="E233" s="520"/>
      <c r="F233" s="520"/>
      <c r="G233" s="490"/>
      <c r="H233" s="490"/>
      <c r="I233" s="490">
        <v>0</v>
      </c>
      <c r="J233" s="490">
        <f>H233-I233</f>
        <v>0</v>
      </c>
      <c r="K233" s="437">
        <f>ROUND(E233+F233+(D233/D$5)+(G233/G$5)+(J233/J$5),2)</f>
        <v>0</v>
      </c>
      <c r="L233" s="442">
        <f>VLOOKUP($B233,weights,2,FALSE)</f>
        <v>1</v>
      </c>
      <c r="M233" s="552">
        <f>ROUND(K233*L233*$M$5,2)</f>
        <v>0</v>
      </c>
      <c r="N233" s="500" t="s">
        <v>168</v>
      </c>
      <c r="O233" s="552"/>
      <c r="P233" s="423" t="s">
        <v>169</v>
      </c>
      <c r="Q233" s="552">
        <f>O233+M233</f>
        <v>0</v>
      </c>
      <c r="R233" s="500"/>
      <c r="S233" s="500"/>
    </row>
    <row r="234" spans="1:19" ht="18" hidden="1" customHeight="1" outlineLevel="1" x14ac:dyDescent="0.2">
      <c r="A234" s="640"/>
      <c r="B234" s="625"/>
      <c r="C234" s="625"/>
      <c r="D234" s="618"/>
      <c r="E234" s="618"/>
      <c r="F234" s="618"/>
      <c r="G234" s="490"/>
      <c r="H234" s="490"/>
      <c r="I234" s="490"/>
      <c r="J234" s="617"/>
      <c r="K234" s="619"/>
      <c r="L234" s="620"/>
      <c r="M234" s="554"/>
      <c r="N234" s="622"/>
      <c r="O234" s="622"/>
      <c r="P234" s="627"/>
      <c r="Q234" s="554"/>
      <c r="R234" s="622"/>
      <c r="S234" s="622"/>
    </row>
    <row r="235" spans="1:19" ht="18" hidden="1" customHeight="1" outlineLevel="1" x14ac:dyDescent="0.25">
      <c r="A235" s="607" t="s">
        <v>226</v>
      </c>
      <c r="B235" s="502"/>
      <c r="C235" s="502" t="s">
        <v>173</v>
      </c>
      <c r="D235" s="472">
        <f>SUM(D233:D234)</f>
        <v>0</v>
      </c>
      <c r="E235" s="611"/>
      <c r="F235" s="611"/>
      <c r="G235" s="472">
        <f>SUM(G233:G234)</f>
        <v>0</v>
      </c>
      <c r="H235" s="472">
        <f>SUM(H233:H234)</f>
        <v>0</v>
      </c>
      <c r="I235" s="472">
        <f>SUM(I233:I234)</f>
        <v>0</v>
      </c>
      <c r="J235" s="472">
        <f>SUM(J233:J234)</f>
        <v>0</v>
      </c>
      <c r="K235" s="638">
        <f>SUM(K233:K234)</f>
        <v>0</v>
      </c>
      <c r="L235" s="474"/>
      <c r="M235" s="475">
        <f>SUM(M233:M234)</f>
        <v>0</v>
      </c>
      <c r="N235" s="498"/>
      <c r="O235" s="558">
        <f>SUM(O233:O234)</f>
        <v>0</v>
      </c>
      <c r="P235" s="436" t="s">
        <v>169</v>
      </c>
      <c r="Q235" s="475">
        <f>SUM(Q233:Q234)</f>
        <v>0</v>
      </c>
      <c r="R235" s="480">
        <f>ROUND($Q235,0)</f>
        <v>0</v>
      </c>
      <c r="S235" s="480">
        <f>ROUND($Q235,0)</f>
        <v>0</v>
      </c>
    </row>
    <row r="236" spans="1:19" ht="18" hidden="1" customHeight="1" outlineLevel="1" x14ac:dyDescent="0.2">
      <c r="A236" s="641"/>
      <c r="D236" s="490"/>
      <c r="E236" s="490"/>
      <c r="F236" s="490"/>
      <c r="G236" s="490"/>
      <c r="H236" s="490"/>
      <c r="I236" s="490"/>
      <c r="J236" s="490"/>
      <c r="M236" s="500"/>
      <c r="N236" s="500"/>
      <c r="O236" s="500"/>
      <c r="Q236" s="500"/>
      <c r="R236" s="500"/>
      <c r="S236" s="500"/>
    </row>
    <row r="237" spans="1:19" ht="18" hidden="1" customHeight="1" outlineLevel="1" x14ac:dyDescent="0.2">
      <c r="A237" s="606" t="s">
        <v>314</v>
      </c>
      <c r="B237" s="417" t="s">
        <v>181</v>
      </c>
      <c r="D237" s="490"/>
      <c r="E237" s="520"/>
      <c r="F237" s="520"/>
      <c r="G237" s="520"/>
      <c r="H237" s="520"/>
      <c r="I237" s="520"/>
      <c r="J237" s="490">
        <f>H237-I237</f>
        <v>0</v>
      </c>
      <c r="K237" s="437">
        <f>ROUND(E237+F237+(D237/D$5)+(G237/G$5)+(J237/J$5),2)</f>
        <v>0</v>
      </c>
      <c r="L237" s="442">
        <f>VLOOKUP($B237,weights,2,FALSE)</f>
        <v>1.1379999999999999</v>
      </c>
      <c r="M237" s="552">
        <f>ROUND(K237*L237*$M$5,2)</f>
        <v>0</v>
      </c>
      <c r="N237" s="500" t="s">
        <v>168</v>
      </c>
      <c r="O237" s="552"/>
      <c r="P237" s="423" t="s">
        <v>169</v>
      </c>
      <c r="Q237" s="552">
        <f>O237+M237</f>
        <v>0</v>
      </c>
      <c r="R237" s="500"/>
      <c r="S237" s="500"/>
    </row>
    <row r="238" spans="1:19" ht="18" hidden="1" customHeight="1" outlineLevel="1" x14ac:dyDescent="0.2">
      <c r="A238" s="606"/>
      <c r="D238" s="490"/>
      <c r="E238" s="520"/>
      <c r="F238" s="520"/>
      <c r="G238" s="520"/>
      <c r="H238" s="520"/>
      <c r="I238" s="520"/>
      <c r="J238" s="490"/>
      <c r="M238" s="554"/>
      <c r="N238" s="500"/>
      <c r="O238" s="622"/>
      <c r="Q238" s="554"/>
      <c r="R238" s="500"/>
      <c r="S238" s="500"/>
    </row>
    <row r="239" spans="1:19" ht="18" hidden="1" customHeight="1" outlineLevel="1" x14ac:dyDescent="0.25">
      <c r="A239" s="607" t="s">
        <v>290</v>
      </c>
      <c r="B239" s="502"/>
      <c r="C239" s="502" t="s">
        <v>182</v>
      </c>
      <c r="D239" s="472">
        <f>SUM(D237:D238)</f>
        <v>0</v>
      </c>
      <c r="E239" s="611"/>
      <c r="F239" s="611"/>
      <c r="G239" s="611"/>
      <c r="H239" s="611"/>
      <c r="I239" s="611"/>
      <c r="J239" s="472">
        <f>SUM(J237:J238)</f>
        <v>0</v>
      </c>
      <c r="K239" s="473">
        <f>SUM(K237:K238)</f>
        <v>0</v>
      </c>
      <c r="L239" s="474"/>
      <c r="M239" s="475">
        <f>SUM(M237:M238)</f>
        <v>0</v>
      </c>
      <c r="N239" s="498"/>
      <c r="O239" s="558">
        <f>SUM(O237:O238)</f>
        <v>0</v>
      </c>
      <c r="P239" s="436" t="s">
        <v>169</v>
      </c>
      <c r="Q239" s="610">
        <f>SUM(Q237:Q238)</f>
        <v>0</v>
      </c>
      <c r="R239" s="500"/>
      <c r="S239" s="500"/>
    </row>
    <row r="240" spans="1:19" ht="18" hidden="1" customHeight="1" outlineLevel="1" x14ac:dyDescent="0.2">
      <c r="M240" s="500"/>
      <c r="N240" s="500"/>
      <c r="O240" s="500"/>
      <c r="Q240" s="500"/>
      <c r="R240" s="500"/>
      <c r="S240" s="500"/>
    </row>
    <row r="241" spans="1:19" ht="18" hidden="1" customHeight="1" outlineLevel="1" x14ac:dyDescent="0.2">
      <c r="A241" s="606" t="s">
        <v>315</v>
      </c>
      <c r="B241" s="417" t="s">
        <v>184</v>
      </c>
      <c r="D241" s="520"/>
      <c r="E241" s="520"/>
      <c r="F241" s="520"/>
      <c r="G241" s="490"/>
      <c r="H241" s="490"/>
      <c r="I241" s="490">
        <v>0</v>
      </c>
      <c r="J241" s="490">
        <f>H241-I241</f>
        <v>0</v>
      </c>
      <c r="K241" s="437">
        <f>ROUND(E241+F241+(D241/D$5)+(G241/G$5)+(J241/J$5),2)</f>
        <v>0</v>
      </c>
      <c r="L241" s="442">
        <f>VLOOKUP($B241,weights,2,FALSE)</f>
        <v>1.1379999999999999</v>
      </c>
      <c r="M241" s="552">
        <f>ROUND(K241*L241*$M$5,2)</f>
        <v>0</v>
      </c>
      <c r="N241" s="500" t="s">
        <v>168</v>
      </c>
      <c r="O241" s="500"/>
      <c r="P241" s="423" t="s">
        <v>169</v>
      </c>
      <c r="Q241" s="552">
        <f>O241+M241</f>
        <v>0</v>
      </c>
      <c r="R241" s="500"/>
      <c r="S241" s="500"/>
    </row>
    <row r="242" spans="1:19" ht="18" hidden="1" customHeight="1" outlineLevel="1" x14ac:dyDescent="0.2">
      <c r="A242" s="606"/>
      <c r="D242" s="520"/>
      <c r="E242" s="520"/>
      <c r="F242" s="520"/>
      <c r="G242" s="490"/>
      <c r="H242" s="490"/>
      <c r="I242" s="490"/>
      <c r="J242" s="490"/>
      <c r="M242" s="554"/>
      <c r="N242" s="500"/>
      <c r="O242" s="622"/>
      <c r="Q242" s="554"/>
      <c r="R242" s="500"/>
      <c r="S242" s="500"/>
    </row>
    <row r="243" spans="1:19" ht="18" hidden="1" customHeight="1" outlineLevel="1" x14ac:dyDescent="0.25">
      <c r="A243" s="607" t="s">
        <v>294</v>
      </c>
      <c r="B243" s="502"/>
      <c r="C243" s="502" t="s">
        <v>185</v>
      </c>
      <c r="D243" s="611"/>
      <c r="E243" s="611"/>
      <c r="F243" s="611"/>
      <c r="G243" s="472">
        <f>SUM(G241:G242)</f>
        <v>0</v>
      </c>
      <c r="H243" s="472">
        <f>SUM(H241:H242)</f>
        <v>0</v>
      </c>
      <c r="I243" s="472">
        <f>SUM(I241:I242)</f>
        <v>0</v>
      </c>
      <c r="J243" s="472">
        <f>SUM(J241:J242)</f>
        <v>0</v>
      </c>
      <c r="K243" s="638">
        <f>SUM(K241:K242)</f>
        <v>0</v>
      </c>
      <c r="L243" s="474"/>
      <c r="M243" s="475">
        <f>SUM(M241:M242)</f>
        <v>0</v>
      </c>
      <c r="N243" s="498"/>
      <c r="O243" s="558">
        <f>SUM(O241:O242)</f>
        <v>0</v>
      </c>
      <c r="P243" s="436" t="s">
        <v>169</v>
      </c>
      <c r="Q243" s="475">
        <f>SUM(Q241:Q242)</f>
        <v>0</v>
      </c>
      <c r="R243" s="480">
        <f>ROUND($Q243+$Q239,0)</f>
        <v>0</v>
      </c>
      <c r="S243" s="480">
        <f>ROUND($Q243+$Q239,0)</f>
        <v>0</v>
      </c>
    </row>
    <row r="244" spans="1:19" ht="18" hidden="1" customHeight="1" outlineLevel="1" x14ac:dyDescent="0.2">
      <c r="A244" s="606"/>
      <c r="D244" s="570"/>
      <c r="E244" s="570"/>
      <c r="F244" s="570"/>
      <c r="G244" s="570"/>
      <c r="H244" s="490"/>
      <c r="I244" s="490"/>
      <c r="J244" s="490"/>
      <c r="M244" s="500"/>
      <c r="N244" s="500"/>
      <c r="O244" s="500"/>
      <c r="Q244" s="500"/>
      <c r="R244" s="500"/>
      <c r="S244" s="500"/>
    </row>
    <row r="245" spans="1:19" ht="18" hidden="1" customHeight="1" outlineLevel="1" x14ac:dyDescent="0.2">
      <c r="A245" s="551" t="s">
        <v>316</v>
      </c>
      <c r="B245" s="417" t="s">
        <v>258</v>
      </c>
      <c r="D245" s="520"/>
      <c r="E245" s="520"/>
      <c r="F245" s="520"/>
      <c r="G245" s="490"/>
      <c r="H245" s="520"/>
      <c r="I245" s="520"/>
      <c r="J245" s="490">
        <f>H245-I245</f>
        <v>0</v>
      </c>
      <c r="K245" s="437">
        <f>ROUND(E245+F245+(D245/D$5)+(G245/G$5)+(J245/J$5),2)</f>
        <v>0</v>
      </c>
      <c r="L245" s="442">
        <f>VLOOKUP($B245,weights,2,FALSE)</f>
        <v>1.67</v>
      </c>
      <c r="M245" s="552">
        <f>ROUND(K245*L245*$M$5,2)</f>
        <v>0</v>
      </c>
      <c r="N245" s="500" t="s">
        <v>168</v>
      </c>
      <c r="O245" s="495"/>
      <c r="P245" s="423" t="s">
        <v>169</v>
      </c>
      <c r="Q245" s="552">
        <f>O245+M245</f>
        <v>0</v>
      </c>
      <c r="R245" s="500"/>
      <c r="S245" s="500"/>
    </row>
    <row r="246" spans="1:19" ht="18" hidden="1" customHeight="1" outlineLevel="1" x14ac:dyDescent="0.2">
      <c r="A246" s="551"/>
      <c r="D246" s="520"/>
      <c r="E246" s="520"/>
      <c r="F246" s="520"/>
      <c r="G246" s="490"/>
      <c r="H246" s="520"/>
      <c r="I246" s="520"/>
      <c r="J246" s="490"/>
      <c r="M246" s="554"/>
      <c r="N246" s="500"/>
      <c r="O246" s="500"/>
      <c r="Q246" s="554"/>
      <c r="R246" s="500"/>
      <c r="S246" s="500"/>
    </row>
    <row r="247" spans="1:19" ht="18" hidden="1" customHeight="1" outlineLevel="1" x14ac:dyDescent="0.25">
      <c r="A247" s="557" t="s">
        <v>260</v>
      </c>
      <c r="B247" s="502"/>
      <c r="C247" s="502" t="s">
        <v>261</v>
      </c>
      <c r="D247" s="611"/>
      <c r="E247" s="611"/>
      <c r="F247" s="611"/>
      <c r="G247" s="472">
        <f>SUM(G245:G246)</f>
        <v>0</v>
      </c>
      <c r="H247" s="611"/>
      <c r="I247" s="611"/>
      <c r="J247" s="472">
        <f>SUM(J245:J246)</f>
        <v>0</v>
      </c>
      <c r="K247" s="638">
        <f>SUM(K245:K246)</f>
        <v>0</v>
      </c>
      <c r="L247" s="474"/>
      <c r="M247" s="475">
        <f>SUM(M245:M246)</f>
        <v>0</v>
      </c>
      <c r="N247" s="498"/>
      <c r="O247" s="558">
        <f>SUM(O245:O246)</f>
        <v>0</v>
      </c>
      <c r="P247" s="436" t="s">
        <v>169</v>
      </c>
      <c r="Q247" s="475">
        <f>SUM(Q245:Q246)</f>
        <v>0</v>
      </c>
      <c r="R247" s="480">
        <f>ROUND($Q247,0)</f>
        <v>0</v>
      </c>
      <c r="S247" s="480">
        <f>ROUND($Q247,0)</f>
        <v>0</v>
      </c>
    </row>
    <row r="248" spans="1:19" s="417" customFormat="1" ht="18" hidden="1" customHeight="1" outlineLevel="1" x14ac:dyDescent="0.25">
      <c r="A248" s="646"/>
      <c r="D248" s="490"/>
      <c r="E248" s="490"/>
      <c r="F248" s="490"/>
      <c r="G248" s="490"/>
      <c r="H248" s="490"/>
      <c r="I248" s="490"/>
      <c r="J248" s="490"/>
      <c r="K248" s="647"/>
      <c r="L248" s="442"/>
      <c r="M248" s="613"/>
      <c r="N248" s="500"/>
      <c r="O248" s="643"/>
      <c r="P248" s="423"/>
      <c r="Q248" s="613"/>
      <c r="R248" s="500"/>
      <c r="S248" s="500"/>
    </row>
    <row r="249" spans="1:19" ht="18" hidden="1" customHeight="1" outlineLevel="1" x14ac:dyDescent="0.25">
      <c r="A249" s="648" t="s">
        <v>317</v>
      </c>
      <c r="B249" s="529" t="s">
        <v>187</v>
      </c>
      <c r="C249" s="546" t="s">
        <v>188</v>
      </c>
      <c r="D249" s="471"/>
      <c r="E249" s="471"/>
      <c r="F249" s="471"/>
      <c r="G249" s="472"/>
      <c r="H249" s="472"/>
      <c r="I249" s="472">
        <v>0</v>
      </c>
      <c r="J249" s="472">
        <f>H249-I249</f>
        <v>0</v>
      </c>
      <c r="K249" s="473">
        <f>ROUND(E249+F249+(D249/D$5)+(G249/G$5)+(J249/J$5),2)</f>
        <v>0</v>
      </c>
      <c r="L249" s="474">
        <f>VLOOKUP($B249,weights,2,FALSE)</f>
        <v>1.7210000000000001</v>
      </c>
      <c r="M249" s="499">
        <f>ROUND(K249*L249*$M$5,2)</f>
        <v>0</v>
      </c>
      <c r="N249" s="498" t="s">
        <v>168</v>
      </c>
      <c r="O249" s="479"/>
      <c r="P249" s="436" t="s">
        <v>169</v>
      </c>
      <c r="Q249" s="478">
        <f>O249+M249</f>
        <v>0</v>
      </c>
      <c r="R249" s="480">
        <f>ROUND($Q249,0)</f>
        <v>0</v>
      </c>
      <c r="S249" s="480">
        <f>ROUND($Q249,0)</f>
        <v>0</v>
      </c>
    </row>
    <row r="250" spans="1:19" s="417" customFormat="1" ht="18" customHeight="1" collapsed="1" x14ac:dyDescent="0.25">
      <c r="A250" s="646"/>
      <c r="D250" s="490"/>
      <c r="E250" s="490"/>
      <c r="F250" s="490"/>
      <c r="G250" s="490"/>
      <c r="H250" s="490"/>
      <c r="I250" s="490"/>
      <c r="J250" s="490"/>
      <c r="K250" s="647"/>
      <c r="L250" s="442"/>
      <c r="M250" s="613"/>
      <c r="N250" s="500"/>
      <c r="O250" s="643"/>
      <c r="P250" s="423"/>
      <c r="Q250" s="613"/>
      <c r="R250" s="500"/>
      <c r="S250" s="500"/>
    </row>
    <row r="251" spans="1:19" ht="18" customHeight="1" x14ac:dyDescent="0.25">
      <c r="A251" s="660" t="s">
        <v>318</v>
      </c>
      <c r="B251" s="502" t="s">
        <v>175</v>
      </c>
      <c r="C251" s="649" t="s">
        <v>319</v>
      </c>
      <c r="D251" s="472">
        <f t="shared" ref="D251:M251" si="49">D247+D243+D239+D235+D231+D227+D249</f>
        <v>0</v>
      </c>
      <c r="E251" s="472">
        <f t="shared" si="49"/>
        <v>194</v>
      </c>
      <c r="F251" s="472">
        <f t="shared" si="49"/>
        <v>0</v>
      </c>
      <c r="G251" s="472">
        <f t="shared" si="49"/>
        <v>0</v>
      </c>
      <c r="H251" s="472">
        <f t="shared" si="49"/>
        <v>0</v>
      </c>
      <c r="I251" s="472">
        <f t="shared" si="49"/>
        <v>0</v>
      </c>
      <c r="J251" s="472">
        <f t="shared" si="49"/>
        <v>0</v>
      </c>
      <c r="K251" s="650">
        <f t="shared" si="49"/>
        <v>194</v>
      </c>
      <c r="L251" s="474">
        <f t="shared" si="49"/>
        <v>1.7210000000000001</v>
      </c>
      <c r="M251" s="486">
        <f t="shared" si="49"/>
        <v>8871962.7300000004</v>
      </c>
      <c r="N251" s="432"/>
      <c r="O251" s="521">
        <f>O247+O243+O239+O235+O231+O227+O249</f>
        <v>0</v>
      </c>
      <c r="P251" s="436"/>
      <c r="Q251" s="497">
        <f>Q247+Q243+Q239+Q235+Q231+Q227+Q249</f>
        <v>8871962.7300000004</v>
      </c>
      <c r="R251" s="489">
        <f>R247+R243+R239+R235+R231+R227+R249</f>
        <v>8871963</v>
      </c>
      <c r="S251" s="489">
        <f>S247+S243+S239+S235+S231+S227+S249</f>
        <v>8871963</v>
      </c>
    </row>
    <row r="252" spans="1:19" ht="18" customHeight="1" x14ac:dyDescent="0.25">
      <c r="D252" s="490"/>
      <c r="E252" s="490"/>
      <c r="F252" s="490"/>
      <c r="G252" s="490"/>
      <c r="H252" s="490"/>
      <c r="I252" s="490"/>
      <c r="J252" s="490"/>
      <c r="K252" s="437" t="str">
        <f>IF(K251='Link Data'!M193,"","Error")</f>
        <v/>
      </c>
      <c r="M252" s="491"/>
    </row>
    <row r="253" spans="1:19" ht="18" customHeight="1" x14ac:dyDescent="0.25">
      <c r="D253" s="490"/>
      <c r="E253" s="490"/>
      <c r="F253" s="490"/>
      <c r="G253" s="490"/>
      <c r="H253" s="490"/>
      <c r="I253" s="490"/>
      <c r="J253" s="490"/>
      <c r="M253" s="491"/>
    </row>
    <row r="254" spans="1:19" ht="18" customHeight="1" x14ac:dyDescent="0.25">
      <c r="D254" s="490"/>
      <c r="E254" s="490"/>
      <c r="F254" s="490"/>
      <c r="G254" s="490"/>
      <c r="H254" s="490"/>
      <c r="I254" s="490"/>
      <c r="J254" s="490"/>
      <c r="M254" s="491"/>
    </row>
    <row r="255" spans="1:19" ht="18" customHeight="1" x14ac:dyDescent="0.25">
      <c r="A255" s="468" t="s">
        <v>320</v>
      </c>
      <c r="B255" s="469"/>
      <c r="C255" s="469"/>
      <c r="D255" s="494"/>
      <c r="E255" s="494"/>
      <c r="F255" s="494"/>
      <c r="G255" s="494"/>
      <c r="H255" s="490"/>
      <c r="I255" s="490"/>
      <c r="J255" s="490"/>
      <c r="M255" s="491"/>
    </row>
    <row r="256" spans="1:19" ht="18" customHeight="1" x14ac:dyDescent="0.2">
      <c r="A256" s="606" t="s">
        <v>321</v>
      </c>
      <c r="B256" s="417" t="s">
        <v>166</v>
      </c>
      <c r="D256" s="520"/>
      <c r="E256" s="490">
        <f>'Link Data'!I197</f>
        <v>221</v>
      </c>
      <c r="F256" s="520"/>
      <c r="G256" s="520"/>
      <c r="H256" s="520"/>
      <c r="I256" s="520"/>
      <c r="J256" s="490">
        <f>H256-I256</f>
        <v>0</v>
      </c>
      <c r="K256" s="437">
        <f>ROUND(E256+F256+(D256/D$5)+(G256/G$5)+(J256/J$5),2)</f>
        <v>221</v>
      </c>
      <c r="L256" s="442">
        <f>VLOOKUP($B256,weights,2,FALSE)</f>
        <v>4.7530000000000001</v>
      </c>
      <c r="M256" s="552">
        <f>ROUND(K256*L256*$M$5,2)</f>
        <v>10106720.43</v>
      </c>
      <c r="N256" s="500" t="s">
        <v>168</v>
      </c>
      <c r="O256" s="495"/>
      <c r="P256" s="423" t="s">
        <v>169</v>
      </c>
      <c r="Q256" s="552">
        <f>O256+M256</f>
        <v>10106720.43</v>
      </c>
      <c r="R256" s="500"/>
      <c r="S256" s="500"/>
    </row>
    <row r="257" spans="1:19" ht="18" customHeight="1" x14ac:dyDescent="0.2">
      <c r="A257" s="606"/>
      <c r="D257" s="520"/>
      <c r="E257" s="490"/>
      <c r="F257" s="520"/>
      <c r="G257" s="520"/>
      <c r="H257" s="520"/>
      <c r="I257" s="520"/>
      <c r="J257" s="490"/>
      <c r="M257" s="554"/>
      <c r="N257" s="500"/>
      <c r="O257" s="500"/>
      <c r="Q257" s="554"/>
      <c r="R257" s="500"/>
      <c r="S257" s="500"/>
    </row>
    <row r="258" spans="1:19" ht="18" customHeight="1" x14ac:dyDescent="0.25">
      <c r="A258" s="607" t="s">
        <v>180</v>
      </c>
      <c r="B258" s="502"/>
      <c r="C258" s="502" t="s">
        <v>167</v>
      </c>
      <c r="D258" s="611"/>
      <c r="E258" s="472">
        <f>SUM(E256:E257)</f>
        <v>221</v>
      </c>
      <c r="F258" s="611"/>
      <c r="G258" s="611"/>
      <c r="H258" s="611"/>
      <c r="I258" s="611"/>
      <c r="J258" s="472">
        <f>SUM(J256:J257)</f>
        <v>0</v>
      </c>
      <c r="K258" s="638">
        <f>SUM(K256:K257)</f>
        <v>221</v>
      </c>
      <c r="L258" s="474"/>
      <c r="M258" s="475">
        <f>SUM(M256:M257)</f>
        <v>10106720.43</v>
      </c>
      <c r="N258" s="498"/>
      <c r="O258" s="558">
        <f>SUM(O256:O257)</f>
        <v>0</v>
      </c>
      <c r="P258" s="436"/>
      <c r="Q258" s="475">
        <f>SUM(Q256:Q257)</f>
        <v>10106720.43</v>
      </c>
      <c r="R258" s="477">
        <f>ROUND($Q258,0)</f>
        <v>10106720</v>
      </c>
      <c r="S258" s="477">
        <f>ROUND($Q258,0)</f>
        <v>10106720</v>
      </c>
    </row>
    <row r="259" spans="1:19" ht="18" customHeight="1" x14ac:dyDescent="0.25">
      <c r="A259" s="615"/>
      <c r="D259" s="490"/>
      <c r="E259" s="490"/>
      <c r="F259" s="490"/>
      <c r="G259" s="490"/>
      <c r="H259" s="490"/>
      <c r="I259" s="490"/>
      <c r="J259" s="490"/>
      <c r="M259" s="613"/>
      <c r="N259" s="432"/>
      <c r="O259" s="643"/>
      <c r="Q259" s="613"/>
      <c r="R259" s="661"/>
      <c r="S259" s="661"/>
    </row>
    <row r="260" spans="1:19" ht="18" hidden="1" customHeight="1" outlineLevel="1" x14ac:dyDescent="0.2">
      <c r="A260" s="606" t="s">
        <v>322</v>
      </c>
      <c r="B260" s="417" t="s">
        <v>170</v>
      </c>
      <c r="D260" s="520"/>
      <c r="E260" s="520"/>
      <c r="F260" s="520"/>
      <c r="G260" s="490"/>
      <c r="H260" s="490"/>
      <c r="I260" s="490">
        <v>0</v>
      </c>
      <c r="J260" s="490">
        <f>H260-I260</f>
        <v>0</v>
      </c>
      <c r="K260" s="437">
        <f>ROUND(E260+F260+(D260/D$5)+(G260/G$5)+(J260/J$5),2)</f>
        <v>0</v>
      </c>
      <c r="L260" s="442">
        <f>VLOOKUP($B260,weights,2,FALSE)</f>
        <v>1.018</v>
      </c>
      <c r="M260" s="552">
        <f>ROUND(K260*L260*$M$5,2)</f>
        <v>0</v>
      </c>
      <c r="N260" s="500" t="s">
        <v>168</v>
      </c>
      <c r="O260" s="495"/>
      <c r="P260" s="423" t="s">
        <v>169</v>
      </c>
      <c r="Q260" s="552">
        <f>O260+M260</f>
        <v>0</v>
      </c>
      <c r="R260" s="500"/>
      <c r="S260" s="500"/>
    </row>
    <row r="261" spans="1:19" s="417" customFormat="1" ht="18" hidden="1" customHeight="1" outlineLevel="1" x14ac:dyDescent="0.2">
      <c r="A261" s="564"/>
      <c r="D261" s="490"/>
      <c r="E261" s="490"/>
      <c r="F261" s="490"/>
      <c r="G261" s="490"/>
      <c r="H261" s="490"/>
      <c r="I261" s="490"/>
      <c r="J261" s="490"/>
      <c r="K261" s="437"/>
      <c r="L261" s="442"/>
      <c r="M261" s="554"/>
      <c r="N261" s="500"/>
      <c r="O261" s="500"/>
      <c r="P261" s="423"/>
      <c r="Q261" s="554"/>
      <c r="R261" s="500"/>
      <c r="S261" s="500"/>
    </row>
    <row r="262" spans="1:19" ht="18" hidden="1" customHeight="1" outlineLevel="1" x14ac:dyDescent="0.25">
      <c r="A262" s="607" t="s">
        <v>195</v>
      </c>
      <c r="B262" s="502"/>
      <c r="C262" s="502" t="s">
        <v>171</v>
      </c>
      <c r="D262" s="611"/>
      <c r="E262" s="611"/>
      <c r="F262" s="611"/>
      <c r="G262" s="472">
        <f>SUM(G260:G261)</f>
        <v>0</v>
      </c>
      <c r="H262" s="472">
        <f>SUM(H260:H261)</f>
        <v>0</v>
      </c>
      <c r="I262" s="472">
        <f>SUM(I260:I261)</f>
        <v>0</v>
      </c>
      <c r="J262" s="472">
        <f>SUM(J260:J261)</f>
        <v>0</v>
      </c>
      <c r="K262" s="638">
        <f>SUM(K260:K261)</f>
        <v>0</v>
      </c>
      <c r="L262" s="474"/>
      <c r="M262" s="475">
        <f>SUM(M260:M261)</f>
        <v>0</v>
      </c>
      <c r="N262" s="498"/>
      <c r="O262" s="558">
        <f>SUM(O260:O261)</f>
        <v>0</v>
      </c>
      <c r="P262" s="436" t="s">
        <v>169</v>
      </c>
      <c r="Q262" s="475">
        <f>SUM(Q260:Q261)</f>
        <v>0</v>
      </c>
      <c r="R262" s="480">
        <f>ROUND($Q262,0)</f>
        <v>0</v>
      </c>
      <c r="S262" s="480">
        <f>ROUND($Q262,0)</f>
        <v>0</v>
      </c>
    </row>
    <row r="263" spans="1:19" ht="18" hidden="1" customHeight="1" outlineLevel="1" x14ac:dyDescent="0.2">
      <c r="A263" s="606"/>
      <c r="B263" s="563"/>
      <c r="C263" s="563"/>
      <c r="D263" s="570"/>
      <c r="E263" s="570"/>
      <c r="F263" s="570"/>
      <c r="G263" s="570"/>
      <c r="H263" s="490"/>
      <c r="I263" s="490"/>
      <c r="J263" s="490"/>
      <c r="M263" s="495"/>
      <c r="N263" s="500"/>
      <c r="O263" s="495"/>
      <c r="Q263" s="495"/>
      <c r="R263" s="500"/>
      <c r="S263" s="500"/>
    </row>
    <row r="264" spans="1:19" ht="18" hidden="1" customHeight="1" outlineLevel="1" x14ac:dyDescent="0.2">
      <c r="A264" s="606" t="s">
        <v>323</v>
      </c>
      <c r="B264" s="417" t="s">
        <v>172</v>
      </c>
      <c r="D264" s="490"/>
      <c r="E264" s="520"/>
      <c r="F264" s="520"/>
      <c r="G264" s="490"/>
      <c r="H264" s="490"/>
      <c r="I264" s="490">
        <v>0</v>
      </c>
      <c r="J264" s="490">
        <f>H264-I264</f>
        <v>0</v>
      </c>
      <c r="K264" s="437">
        <f>ROUND(E264+F264+(D264/D$5)+(G264/G$5)+(J264/J$5),2)</f>
        <v>0</v>
      </c>
      <c r="L264" s="442">
        <f>VLOOKUP($B264,weights,2,FALSE)</f>
        <v>1</v>
      </c>
      <c r="M264" s="552">
        <f>ROUND(K264*L264*$M$5,2)</f>
        <v>0</v>
      </c>
      <c r="N264" s="500" t="s">
        <v>168</v>
      </c>
      <c r="O264" s="552"/>
      <c r="P264" s="423" t="s">
        <v>169</v>
      </c>
      <c r="Q264" s="552">
        <f>O264+M264</f>
        <v>0</v>
      </c>
      <c r="R264" s="500"/>
      <c r="S264" s="500"/>
    </row>
    <row r="265" spans="1:19" s="417" customFormat="1" ht="18" hidden="1" customHeight="1" outlineLevel="1" x14ac:dyDescent="0.2">
      <c r="A265" s="662"/>
      <c r="B265" s="625"/>
      <c r="C265" s="625"/>
      <c r="D265" s="617"/>
      <c r="E265" s="617"/>
      <c r="F265" s="617"/>
      <c r="G265" s="490"/>
      <c r="H265" s="490"/>
      <c r="I265" s="490"/>
      <c r="J265" s="617"/>
      <c r="K265" s="619"/>
      <c r="L265" s="620"/>
      <c r="M265" s="554"/>
      <c r="N265" s="622"/>
      <c r="O265" s="622"/>
      <c r="P265" s="627"/>
      <c r="Q265" s="554"/>
      <c r="R265" s="622"/>
      <c r="S265" s="622"/>
    </row>
    <row r="266" spans="1:19" ht="18" hidden="1" customHeight="1" outlineLevel="1" x14ac:dyDescent="0.25">
      <c r="A266" s="607" t="s">
        <v>226</v>
      </c>
      <c r="B266" s="502"/>
      <c r="C266" s="502" t="s">
        <v>173</v>
      </c>
      <c r="D266" s="472">
        <f>SUM(D264:D265)</f>
        <v>0</v>
      </c>
      <c r="E266" s="611"/>
      <c r="F266" s="611"/>
      <c r="G266" s="472">
        <f>SUM(G264:G265)</f>
        <v>0</v>
      </c>
      <c r="H266" s="472">
        <f>SUM(H264:H265)</f>
        <v>0</v>
      </c>
      <c r="I266" s="472">
        <f>SUM(I264:I265)</f>
        <v>0</v>
      </c>
      <c r="J266" s="472">
        <f>SUM(J264:J265)</f>
        <v>0</v>
      </c>
      <c r="K266" s="638">
        <f>SUM(K264:K265)</f>
        <v>0</v>
      </c>
      <c r="L266" s="474"/>
      <c r="M266" s="475">
        <f>SUM(M264:M265)</f>
        <v>0</v>
      </c>
      <c r="N266" s="498"/>
      <c r="O266" s="558">
        <f>SUM(O264:O265)</f>
        <v>0</v>
      </c>
      <c r="P266" s="436" t="s">
        <v>169</v>
      </c>
      <c r="Q266" s="475">
        <f>SUM(Q264:Q265)</f>
        <v>0</v>
      </c>
      <c r="R266" s="480">
        <f>ROUND($Q266,0)</f>
        <v>0</v>
      </c>
      <c r="S266" s="480">
        <f>ROUND($Q266,0)</f>
        <v>0</v>
      </c>
    </row>
    <row r="267" spans="1:19" ht="18" hidden="1" customHeight="1" outlineLevel="1" x14ac:dyDescent="0.2">
      <c r="A267" s="641"/>
      <c r="D267" s="490"/>
      <c r="E267" s="490"/>
      <c r="F267" s="490"/>
      <c r="G267" s="490"/>
      <c r="H267" s="490"/>
      <c r="I267" s="490"/>
      <c r="J267" s="490"/>
      <c r="M267" s="500"/>
      <c r="N267" s="500"/>
      <c r="O267" s="500"/>
      <c r="Q267" s="500"/>
      <c r="R267" s="500"/>
      <c r="S267" s="500"/>
    </row>
    <row r="268" spans="1:19" ht="18" hidden="1" customHeight="1" outlineLevel="1" x14ac:dyDescent="0.2">
      <c r="A268" s="606" t="s">
        <v>324</v>
      </c>
      <c r="B268" s="417" t="s">
        <v>181</v>
      </c>
      <c r="D268" s="490"/>
      <c r="E268" s="520"/>
      <c r="F268" s="520"/>
      <c r="G268" s="520"/>
      <c r="H268" s="520"/>
      <c r="I268" s="520"/>
      <c r="J268" s="490">
        <f>H268-I268</f>
        <v>0</v>
      </c>
      <c r="K268" s="437">
        <f>ROUND(E268+F268+(D268/D$5)+(G268/G$5)+(J268/J$5),2)</f>
        <v>0</v>
      </c>
      <c r="L268" s="442">
        <f>VLOOKUP($B268,weights,2,FALSE)</f>
        <v>1.1379999999999999</v>
      </c>
      <c r="M268" s="552">
        <f>ROUND(K268*L268*$M$5,2)</f>
        <v>0</v>
      </c>
      <c r="N268" s="500" t="s">
        <v>168</v>
      </c>
      <c r="O268" s="495"/>
      <c r="P268" s="423" t="s">
        <v>169</v>
      </c>
      <c r="Q268" s="552">
        <f>O268+M268</f>
        <v>0</v>
      </c>
      <c r="R268" s="500"/>
      <c r="S268" s="500"/>
    </row>
    <row r="269" spans="1:19" s="417" customFormat="1" ht="18" hidden="1" customHeight="1" outlineLevel="1" x14ac:dyDescent="0.2">
      <c r="A269" s="564"/>
      <c r="D269" s="490"/>
      <c r="E269" s="490"/>
      <c r="F269" s="490"/>
      <c r="G269" s="490"/>
      <c r="H269" s="490"/>
      <c r="I269" s="490"/>
      <c r="J269" s="490"/>
      <c r="K269" s="437"/>
      <c r="L269" s="442"/>
      <c r="M269" s="554"/>
      <c r="N269" s="500"/>
      <c r="O269" s="500"/>
      <c r="P269" s="423"/>
      <c r="Q269" s="554"/>
      <c r="R269" s="500"/>
      <c r="S269" s="500"/>
    </row>
    <row r="270" spans="1:19" ht="18" hidden="1" customHeight="1" outlineLevel="1" x14ac:dyDescent="0.25">
      <c r="A270" s="607" t="s">
        <v>290</v>
      </c>
      <c r="B270" s="502"/>
      <c r="C270" s="502" t="s">
        <v>182</v>
      </c>
      <c r="D270" s="472">
        <f>SUM(D268:D269)</f>
        <v>0</v>
      </c>
      <c r="E270" s="611"/>
      <c r="F270" s="611"/>
      <c r="G270" s="611"/>
      <c r="H270" s="611"/>
      <c r="I270" s="611"/>
      <c r="J270" s="472">
        <f>SUM(J268:J269)</f>
        <v>0</v>
      </c>
      <c r="K270" s="638">
        <f>SUM(K268:K269)</f>
        <v>0</v>
      </c>
      <c r="L270" s="474"/>
      <c r="M270" s="475">
        <f>SUM(M268:M269)</f>
        <v>0</v>
      </c>
      <c r="N270" s="498"/>
      <c r="O270" s="558">
        <f>SUM(O268:O269)</f>
        <v>0</v>
      </c>
      <c r="P270" s="436" t="s">
        <v>169</v>
      </c>
      <c r="Q270" s="610">
        <f>SUM(Q268:Q269)</f>
        <v>0</v>
      </c>
      <c r="R270" s="500"/>
      <c r="S270" s="500"/>
    </row>
    <row r="271" spans="1:19" ht="18" hidden="1" customHeight="1" outlineLevel="1" x14ac:dyDescent="0.2">
      <c r="M271" s="500"/>
      <c r="N271" s="500"/>
      <c r="O271" s="500"/>
      <c r="Q271" s="500"/>
      <c r="R271" s="500"/>
      <c r="S271" s="500"/>
    </row>
    <row r="272" spans="1:19" ht="18" hidden="1" customHeight="1" outlineLevel="1" x14ac:dyDescent="0.2">
      <c r="A272" s="606" t="s">
        <v>325</v>
      </c>
      <c r="B272" s="417" t="s">
        <v>184</v>
      </c>
      <c r="D272" s="520"/>
      <c r="E272" s="520"/>
      <c r="F272" s="520"/>
      <c r="G272" s="490"/>
      <c r="H272" s="490"/>
      <c r="I272" s="490">
        <v>0</v>
      </c>
      <c r="J272" s="490">
        <f>H272-I272</f>
        <v>0</v>
      </c>
      <c r="K272" s="437">
        <f>ROUND(E272+F272+(D272/D$5)+(G272/G$5)+(J272/J$5),2)</f>
        <v>0</v>
      </c>
      <c r="L272" s="442">
        <f>VLOOKUP($B272,weights,2,FALSE)</f>
        <v>1.1379999999999999</v>
      </c>
      <c r="M272" s="552">
        <f>ROUND(K272*L272*$M$5,2)</f>
        <v>0</v>
      </c>
      <c r="N272" s="500" t="s">
        <v>168</v>
      </c>
      <c r="O272" s="495"/>
      <c r="P272" s="423" t="s">
        <v>169</v>
      </c>
      <c r="Q272" s="552">
        <f>O272+M272</f>
        <v>0</v>
      </c>
      <c r="R272" s="500"/>
      <c r="S272" s="500"/>
    </row>
    <row r="273" spans="1:19" s="417" customFormat="1" ht="18" hidden="1" customHeight="1" outlineLevel="1" x14ac:dyDescent="0.2">
      <c r="A273" s="564"/>
      <c r="D273" s="490"/>
      <c r="E273" s="490"/>
      <c r="F273" s="490"/>
      <c r="G273" s="490"/>
      <c r="H273" s="490"/>
      <c r="I273" s="490"/>
      <c r="J273" s="490"/>
      <c r="K273" s="437"/>
      <c r="L273" s="442"/>
      <c r="M273" s="554"/>
      <c r="N273" s="500"/>
      <c r="O273" s="500"/>
      <c r="P273" s="423"/>
      <c r="Q273" s="554"/>
      <c r="R273" s="500"/>
      <c r="S273" s="500"/>
    </row>
    <row r="274" spans="1:19" ht="18" hidden="1" customHeight="1" outlineLevel="1" x14ac:dyDescent="0.25">
      <c r="A274" s="607" t="s">
        <v>294</v>
      </c>
      <c r="B274" s="502"/>
      <c r="C274" s="502" t="s">
        <v>185</v>
      </c>
      <c r="D274" s="611"/>
      <c r="E274" s="611"/>
      <c r="F274" s="611"/>
      <c r="G274" s="472">
        <f>SUM(G272:G273)</f>
        <v>0</v>
      </c>
      <c r="H274" s="472">
        <f>SUM(H272:H273)</f>
        <v>0</v>
      </c>
      <c r="I274" s="472">
        <f>SUM(I272:I273)</f>
        <v>0</v>
      </c>
      <c r="J274" s="472">
        <f>SUM(J272:J273)</f>
        <v>0</v>
      </c>
      <c r="K274" s="638">
        <f>SUM(K272:K273)</f>
        <v>0</v>
      </c>
      <c r="L274" s="474"/>
      <c r="M274" s="475">
        <f>SUM(M272:M273)</f>
        <v>0</v>
      </c>
      <c r="N274" s="498"/>
      <c r="O274" s="558">
        <f>SUM(O272:O273)</f>
        <v>0</v>
      </c>
      <c r="P274" s="436" t="s">
        <v>169</v>
      </c>
      <c r="Q274" s="475">
        <f>SUM(Q272:Q273)</f>
        <v>0</v>
      </c>
      <c r="R274" s="480">
        <f>ROUND($Q274+$Q270,0)</f>
        <v>0</v>
      </c>
      <c r="S274" s="480">
        <f>ROUND($Q274+$Q270,0)</f>
        <v>0</v>
      </c>
    </row>
    <row r="275" spans="1:19" ht="18" hidden="1" customHeight="1" outlineLevel="1" x14ac:dyDescent="0.2">
      <c r="A275" s="606"/>
      <c r="D275" s="570"/>
      <c r="E275" s="570"/>
      <c r="F275" s="570"/>
      <c r="G275" s="570"/>
      <c r="H275" s="490"/>
      <c r="I275" s="490"/>
      <c r="J275" s="490"/>
      <c r="M275" s="500"/>
      <c r="N275" s="500"/>
      <c r="O275" s="500"/>
      <c r="Q275" s="500"/>
      <c r="R275" s="500"/>
      <c r="S275" s="500"/>
    </row>
    <row r="276" spans="1:19" ht="18" hidden="1" customHeight="1" outlineLevel="1" x14ac:dyDescent="0.25">
      <c r="A276" s="648" t="s">
        <v>326</v>
      </c>
      <c r="B276" s="529" t="s">
        <v>187</v>
      </c>
      <c r="C276" s="546" t="s">
        <v>188</v>
      </c>
      <c r="D276" s="471"/>
      <c r="E276" s="471"/>
      <c r="F276" s="471"/>
      <c r="G276" s="472"/>
      <c r="H276" s="472"/>
      <c r="I276" s="472">
        <v>0</v>
      </c>
      <c r="J276" s="472">
        <f>H276-I276</f>
        <v>0</v>
      </c>
      <c r="K276" s="473">
        <f>ROUND(E276+F276+(D276/D$5)+(G276/G$5)+(J276/J$5),2)</f>
        <v>0</v>
      </c>
      <c r="L276" s="474">
        <f>VLOOKUP($B276,weights,2,FALSE)</f>
        <v>1.7210000000000001</v>
      </c>
      <c r="M276" s="499">
        <f>ROUND(K276*L276*$M$5,2)</f>
        <v>0</v>
      </c>
      <c r="N276" s="498" t="s">
        <v>168</v>
      </c>
      <c r="O276" s="479"/>
      <c r="P276" s="436" t="s">
        <v>169</v>
      </c>
      <c r="Q276" s="478">
        <f>O276+M276</f>
        <v>0</v>
      </c>
      <c r="R276" s="480">
        <f>ROUND($Q276,0)</f>
        <v>0</v>
      </c>
      <c r="S276" s="480">
        <f>ROUND($Q276,0)</f>
        <v>0</v>
      </c>
    </row>
    <row r="277" spans="1:19" s="417" customFormat="1" ht="18" customHeight="1" collapsed="1" x14ac:dyDescent="0.25">
      <c r="A277" s="646"/>
      <c r="D277" s="490"/>
      <c r="E277" s="490"/>
      <c r="F277" s="490"/>
      <c r="G277" s="490"/>
      <c r="H277" s="490"/>
      <c r="I277" s="490"/>
      <c r="J277" s="490"/>
      <c r="K277" s="647"/>
      <c r="L277" s="442"/>
      <c r="M277" s="613"/>
      <c r="N277" s="500"/>
      <c r="O277" s="643"/>
      <c r="P277" s="423"/>
      <c r="Q277" s="613"/>
      <c r="R277" s="500"/>
      <c r="S277" s="500"/>
    </row>
    <row r="278" spans="1:19" ht="18" customHeight="1" x14ac:dyDescent="0.25">
      <c r="A278" s="660" t="s">
        <v>327</v>
      </c>
      <c r="B278" s="502" t="s">
        <v>175</v>
      </c>
      <c r="C278" s="649" t="s">
        <v>328</v>
      </c>
      <c r="D278" s="472">
        <f>D274+D270+D266+D262+D258+D276</f>
        <v>0</v>
      </c>
      <c r="E278" s="472">
        <f t="shared" ref="E278:K278" si="50">E274+E270+E266+E262+E258+E276</f>
        <v>221</v>
      </c>
      <c r="F278" s="472">
        <f t="shared" si="50"/>
        <v>0</v>
      </c>
      <c r="G278" s="472">
        <f t="shared" si="50"/>
        <v>0</v>
      </c>
      <c r="H278" s="472">
        <f t="shared" si="50"/>
        <v>0</v>
      </c>
      <c r="I278" s="472">
        <f t="shared" si="50"/>
        <v>0</v>
      </c>
      <c r="J278" s="472">
        <f t="shared" si="50"/>
        <v>0</v>
      </c>
      <c r="K278" s="650">
        <f t="shared" si="50"/>
        <v>221</v>
      </c>
      <c r="L278" s="474"/>
      <c r="M278" s="486">
        <f>M274+M270+M266+M262+M258+M276</f>
        <v>10106720.43</v>
      </c>
      <c r="N278" s="432"/>
      <c r="O278" s="521">
        <f>O274+O270+O266+O262+O258+O276</f>
        <v>0</v>
      </c>
      <c r="P278" s="436"/>
      <c r="Q278" s="497">
        <f>Q274+Q270+Q266+Q262+Q258+Q276</f>
        <v>10106720.43</v>
      </c>
      <c r="R278" s="489">
        <f t="shared" ref="R278:S278" si="51">R274+R270+R266+R262+R258+R276</f>
        <v>10106720</v>
      </c>
      <c r="S278" s="489">
        <f t="shared" si="51"/>
        <v>10106720</v>
      </c>
    </row>
    <row r="279" spans="1:19" ht="18" customHeight="1" x14ac:dyDescent="0.25">
      <c r="D279" s="490"/>
      <c r="E279" s="490"/>
      <c r="F279" s="490"/>
      <c r="G279" s="490"/>
      <c r="H279" s="490"/>
      <c r="I279" s="490"/>
      <c r="J279" s="490"/>
      <c r="K279" s="437" t="str">
        <f>IF(K278='Link Data'!M199,"","Error")</f>
        <v/>
      </c>
      <c r="M279" s="491"/>
    </row>
    <row r="280" spans="1:19" ht="18" customHeight="1" x14ac:dyDescent="0.25">
      <c r="D280" s="490"/>
      <c r="E280" s="490"/>
      <c r="F280" s="490"/>
      <c r="G280" s="490"/>
      <c r="H280" s="490"/>
      <c r="I280" s="490"/>
      <c r="J280" s="490"/>
      <c r="M280" s="491"/>
    </row>
    <row r="281" spans="1:19" ht="18" customHeight="1" x14ac:dyDescent="0.25">
      <c r="A281" s="468" t="s">
        <v>329</v>
      </c>
      <c r="B281" s="469"/>
      <c r="C281" s="469"/>
      <c r="D281" s="494"/>
      <c r="E281" s="494"/>
      <c r="F281" s="494"/>
      <c r="G281" s="494"/>
      <c r="H281" s="490"/>
      <c r="I281" s="490"/>
      <c r="J281" s="490"/>
      <c r="M281" s="491"/>
    </row>
    <row r="282" spans="1:19" ht="18" customHeight="1" x14ac:dyDescent="0.2">
      <c r="A282" s="606" t="s">
        <v>321</v>
      </c>
      <c r="B282" s="417" t="s">
        <v>166</v>
      </c>
      <c r="D282" s="520"/>
      <c r="E282" s="490">
        <f>'Link Data'!I203</f>
        <v>30</v>
      </c>
      <c r="F282" s="520"/>
      <c r="G282" s="520"/>
      <c r="H282" s="520"/>
      <c r="I282" s="520"/>
      <c r="J282" s="490">
        <f>H282-I282</f>
        <v>0</v>
      </c>
      <c r="K282" s="437">
        <f>ROUND(E282+F282+(D282/D$5)+(G282/G$5)+(J282/J$5),2)</f>
        <v>30</v>
      </c>
      <c r="L282" s="442">
        <f>VLOOKUP($B282,weights,2,FALSE)</f>
        <v>4.7530000000000001</v>
      </c>
      <c r="M282" s="552">
        <f>ROUND(K282*L282*$M$5,2)</f>
        <v>1371953</v>
      </c>
      <c r="N282" s="500" t="s">
        <v>168</v>
      </c>
      <c r="O282" s="495"/>
      <c r="P282" s="423" t="s">
        <v>169</v>
      </c>
      <c r="Q282" s="552">
        <f>O282+M282</f>
        <v>1371953</v>
      </c>
      <c r="R282" s="500"/>
      <c r="S282" s="500"/>
    </row>
    <row r="283" spans="1:19" ht="18" customHeight="1" x14ac:dyDescent="0.2">
      <c r="A283" s="606"/>
      <c r="D283" s="520"/>
      <c r="E283" s="490"/>
      <c r="F283" s="520"/>
      <c r="G283" s="520"/>
      <c r="H283" s="520"/>
      <c r="I283" s="520"/>
      <c r="J283" s="490"/>
      <c r="M283" s="554"/>
      <c r="N283" s="500"/>
      <c r="O283" s="500"/>
      <c r="Q283" s="554"/>
      <c r="R283" s="500"/>
      <c r="S283" s="500"/>
    </row>
    <row r="284" spans="1:19" ht="18" customHeight="1" x14ac:dyDescent="0.25">
      <c r="A284" s="607" t="s">
        <v>180</v>
      </c>
      <c r="B284" s="502"/>
      <c r="C284" s="502" t="s">
        <v>167</v>
      </c>
      <c r="D284" s="611"/>
      <c r="E284" s="472">
        <f>SUM(E282:E283)</f>
        <v>30</v>
      </c>
      <c r="F284" s="611"/>
      <c r="G284" s="611"/>
      <c r="H284" s="611"/>
      <c r="I284" s="611"/>
      <c r="J284" s="472">
        <f>SUM(J282:J283)</f>
        <v>0</v>
      </c>
      <c r="K284" s="638">
        <f>SUM(K282:K283)</f>
        <v>30</v>
      </c>
      <c r="L284" s="474"/>
      <c r="M284" s="475">
        <f>SUM(M282:M283)</f>
        <v>1371953</v>
      </c>
      <c r="N284" s="498"/>
      <c r="O284" s="558">
        <f>SUM(O282:O283)</f>
        <v>0</v>
      </c>
      <c r="P284" s="436"/>
      <c r="Q284" s="475">
        <f>SUM(Q282:Q283)</f>
        <v>1371953</v>
      </c>
      <c r="R284" s="477">
        <f>ROUND($Q284,0)</f>
        <v>1371953</v>
      </c>
      <c r="S284" s="477">
        <f>ROUND($Q284,0)</f>
        <v>1371953</v>
      </c>
    </row>
    <row r="285" spans="1:19" ht="18" customHeight="1" x14ac:dyDescent="0.25">
      <c r="A285" s="615"/>
      <c r="D285" s="490"/>
      <c r="E285" s="490">
        <v>30</v>
      </c>
      <c r="F285" s="490"/>
      <c r="G285" s="490"/>
      <c r="H285" s="490"/>
      <c r="I285" s="490"/>
      <c r="J285" s="490"/>
      <c r="M285" s="613"/>
      <c r="N285" s="432"/>
      <c r="O285" s="643"/>
      <c r="Q285" s="613"/>
      <c r="R285" s="661"/>
      <c r="S285" s="661"/>
    </row>
    <row r="286" spans="1:19" ht="18" hidden="1" customHeight="1" outlineLevel="1" x14ac:dyDescent="0.2">
      <c r="A286" s="606" t="s">
        <v>322</v>
      </c>
      <c r="B286" s="417" t="s">
        <v>170</v>
      </c>
      <c r="D286" s="520"/>
      <c r="E286" s="520"/>
      <c r="F286" s="520"/>
      <c r="G286" s="490"/>
      <c r="H286" s="490"/>
      <c r="I286" s="490">
        <v>0</v>
      </c>
      <c r="J286" s="490">
        <f>H286-I286</f>
        <v>0</v>
      </c>
      <c r="K286" s="437">
        <f>ROUND(E286+F286+(D286/D$5)+(G286/G$5)+(J286/J$5),2)</f>
        <v>0</v>
      </c>
      <c r="L286" s="442">
        <f>VLOOKUP($B286,weights,2,FALSE)</f>
        <v>1.018</v>
      </c>
      <c r="M286" s="552">
        <f>ROUND(K286*L286*$M$5,2)</f>
        <v>0</v>
      </c>
      <c r="N286" s="500" t="s">
        <v>168</v>
      </c>
      <c r="O286" s="495"/>
      <c r="P286" s="423" t="s">
        <v>169</v>
      </c>
      <c r="Q286" s="552">
        <f>O286+M286</f>
        <v>0</v>
      </c>
      <c r="R286" s="500"/>
      <c r="S286" s="500"/>
    </row>
    <row r="287" spans="1:19" s="417" customFormat="1" ht="18" hidden="1" customHeight="1" outlineLevel="1" x14ac:dyDescent="0.2">
      <c r="A287" s="564"/>
      <c r="D287" s="490"/>
      <c r="E287" s="490"/>
      <c r="F287" s="490"/>
      <c r="G287" s="490"/>
      <c r="H287" s="490"/>
      <c r="I287" s="490"/>
      <c r="J287" s="490"/>
      <c r="K287" s="437"/>
      <c r="L287" s="442"/>
      <c r="M287" s="554"/>
      <c r="N287" s="500"/>
      <c r="O287" s="500"/>
      <c r="P287" s="423"/>
      <c r="Q287" s="554"/>
      <c r="R287" s="500"/>
      <c r="S287" s="500"/>
    </row>
    <row r="288" spans="1:19" ht="18" hidden="1" customHeight="1" outlineLevel="1" x14ac:dyDescent="0.25">
      <c r="A288" s="607" t="s">
        <v>195</v>
      </c>
      <c r="B288" s="502"/>
      <c r="C288" s="502" t="s">
        <v>171</v>
      </c>
      <c r="D288" s="611"/>
      <c r="E288" s="611"/>
      <c r="F288" s="611"/>
      <c r="G288" s="472">
        <f>SUM(G286:G287)</f>
        <v>0</v>
      </c>
      <c r="H288" s="472">
        <f>SUM(H286:H287)</f>
        <v>0</v>
      </c>
      <c r="I288" s="472">
        <f>SUM(I286:I287)</f>
        <v>0</v>
      </c>
      <c r="J288" s="472">
        <f>SUM(J286:J287)</f>
        <v>0</v>
      </c>
      <c r="K288" s="638">
        <f>SUM(K286:K287)</f>
        <v>0</v>
      </c>
      <c r="L288" s="474"/>
      <c r="M288" s="475">
        <f>SUM(M286:M287)</f>
        <v>0</v>
      </c>
      <c r="N288" s="498"/>
      <c r="O288" s="558">
        <f>SUM(O286:O287)</f>
        <v>0</v>
      </c>
      <c r="P288" s="436" t="s">
        <v>169</v>
      </c>
      <c r="Q288" s="475">
        <f>SUM(Q286:Q287)</f>
        <v>0</v>
      </c>
      <c r="R288" s="480">
        <f>ROUND($Q288,0)</f>
        <v>0</v>
      </c>
      <c r="S288" s="480">
        <f>ROUND($Q288,0)</f>
        <v>0</v>
      </c>
    </row>
    <row r="289" spans="1:19" ht="18" hidden="1" customHeight="1" outlineLevel="1" x14ac:dyDescent="0.2">
      <c r="A289" s="606"/>
      <c r="B289" s="563"/>
      <c r="C289" s="563"/>
      <c r="D289" s="570"/>
      <c r="E289" s="570"/>
      <c r="F289" s="570"/>
      <c r="G289" s="570"/>
      <c r="H289" s="490"/>
      <c r="I289" s="490"/>
      <c r="J289" s="490"/>
      <c r="M289" s="495"/>
      <c r="N289" s="500"/>
      <c r="O289" s="495"/>
      <c r="Q289" s="495"/>
      <c r="R289" s="500"/>
      <c r="S289" s="500"/>
    </row>
    <row r="290" spans="1:19" ht="18" hidden="1" customHeight="1" outlineLevel="1" x14ac:dyDescent="0.2">
      <c r="A290" s="606" t="s">
        <v>323</v>
      </c>
      <c r="B290" s="417" t="s">
        <v>172</v>
      </c>
      <c r="D290" s="490"/>
      <c r="E290" s="520"/>
      <c r="F290" s="520"/>
      <c r="G290" s="490"/>
      <c r="H290" s="490"/>
      <c r="I290" s="490">
        <v>0</v>
      </c>
      <c r="J290" s="490">
        <f>H290-I290</f>
        <v>0</v>
      </c>
      <c r="K290" s="437">
        <f>ROUND(E290+F290+(D290/D$5)+(G290/G$5)+(J290/J$5),2)</f>
        <v>0</v>
      </c>
      <c r="L290" s="442">
        <f>VLOOKUP($B290,weights,2,FALSE)</f>
        <v>1</v>
      </c>
      <c r="M290" s="552">
        <f>ROUND(K290*L290*$M$5,2)</f>
        <v>0</v>
      </c>
      <c r="N290" s="500" t="s">
        <v>168</v>
      </c>
      <c r="O290" s="552"/>
      <c r="P290" s="423" t="s">
        <v>169</v>
      </c>
      <c r="Q290" s="552">
        <f>O290+M290</f>
        <v>0</v>
      </c>
      <c r="R290" s="500"/>
      <c r="S290" s="500"/>
    </row>
    <row r="291" spans="1:19" s="417" customFormat="1" ht="18" hidden="1" customHeight="1" outlineLevel="1" x14ac:dyDescent="0.2">
      <c r="A291" s="662"/>
      <c r="B291" s="625"/>
      <c r="C291" s="625"/>
      <c r="D291" s="617"/>
      <c r="E291" s="617"/>
      <c r="F291" s="617"/>
      <c r="G291" s="490"/>
      <c r="H291" s="490"/>
      <c r="I291" s="490"/>
      <c r="J291" s="617"/>
      <c r="K291" s="619"/>
      <c r="L291" s="620"/>
      <c r="M291" s="554"/>
      <c r="N291" s="622"/>
      <c r="O291" s="622"/>
      <c r="P291" s="627"/>
      <c r="Q291" s="554"/>
      <c r="R291" s="622"/>
      <c r="S291" s="622"/>
    </row>
    <row r="292" spans="1:19" ht="18" hidden="1" customHeight="1" outlineLevel="1" x14ac:dyDescent="0.25">
      <c r="A292" s="607" t="s">
        <v>226</v>
      </c>
      <c r="B292" s="502"/>
      <c r="C292" s="502" t="s">
        <v>173</v>
      </c>
      <c r="D292" s="472">
        <f>SUM(D290:D291)</f>
        <v>0</v>
      </c>
      <c r="E292" s="611"/>
      <c r="F292" s="611"/>
      <c r="G292" s="472">
        <f>SUM(G290:G291)</f>
        <v>0</v>
      </c>
      <c r="H292" s="472">
        <f>SUM(H290:H291)</f>
        <v>0</v>
      </c>
      <c r="I292" s="472">
        <f>SUM(I290:I291)</f>
        <v>0</v>
      </c>
      <c r="J292" s="472">
        <f>SUM(J290:J291)</f>
        <v>0</v>
      </c>
      <c r="K292" s="638">
        <f>SUM(K290:K291)</f>
        <v>0</v>
      </c>
      <c r="L292" s="474"/>
      <c r="M292" s="475">
        <f>SUM(M290:M291)</f>
        <v>0</v>
      </c>
      <c r="N292" s="498"/>
      <c r="O292" s="558">
        <f>SUM(O290:O291)</f>
        <v>0</v>
      </c>
      <c r="P292" s="436" t="s">
        <v>169</v>
      </c>
      <c r="Q292" s="475">
        <f>SUM(Q290:Q291)</f>
        <v>0</v>
      </c>
      <c r="R292" s="480">
        <f>ROUND($Q292,0)</f>
        <v>0</v>
      </c>
      <c r="S292" s="480">
        <f>ROUND($Q292,0)</f>
        <v>0</v>
      </c>
    </row>
    <row r="293" spans="1:19" ht="18" hidden="1" customHeight="1" outlineLevel="1" x14ac:dyDescent="0.2">
      <c r="A293" s="641"/>
      <c r="D293" s="490"/>
      <c r="E293" s="490"/>
      <c r="F293" s="490"/>
      <c r="G293" s="490"/>
      <c r="H293" s="490"/>
      <c r="I293" s="490"/>
      <c r="J293" s="490"/>
      <c r="M293" s="500"/>
      <c r="N293" s="500"/>
      <c r="O293" s="500"/>
      <c r="Q293" s="500"/>
      <c r="R293" s="500"/>
      <c r="S293" s="500"/>
    </row>
    <row r="294" spans="1:19" ht="18" hidden="1" customHeight="1" outlineLevel="1" x14ac:dyDescent="0.2">
      <c r="A294" s="606" t="s">
        <v>324</v>
      </c>
      <c r="B294" s="417" t="s">
        <v>181</v>
      </c>
      <c r="D294" s="490"/>
      <c r="E294" s="520"/>
      <c r="F294" s="520"/>
      <c r="G294" s="520"/>
      <c r="H294" s="520"/>
      <c r="I294" s="520"/>
      <c r="J294" s="490">
        <f>H294-I294</f>
        <v>0</v>
      </c>
      <c r="K294" s="437">
        <f>ROUND(E294+F294+(D294/D$5)+(G294/G$5)+(J294/J$5),2)</f>
        <v>0</v>
      </c>
      <c r="L294" s="442">
        <f>VLOOKUP($B294,weights,2,FALSE)</f>
        <v>1.1379999999999999</v>
      </c>
      <c r="M294" s="552">
        <f>ROUND(K294*L294*$M$5,2)</f>
        <v>0</v>
      </c>
      <c r="N294" s="500" t="s">
        <v>168</v>
      </c>
      <c r="O294" s="495"/>
      <c r="P294" s="423" t="s">
        <v>169</v>
      </c>
      <c r="Q294" s="552">
        <f>O294+M294</f>
        <v>0</v>
      </c>
      <c r="R294" s="500"/>
      <c r="S294" s="500"/>
    </row>
    <row r="295" spans="1:19" s="417" customFormat="1" ht="18" hidden="1" customHeight="1" outlineLevel="1" x14ac:dyDescent="0.2">
      <c r="A295" s="564"/>
      <c r="D295" s="490"/>
      <c r="E295" s="490"/>
      <c r="F295" s="490"/>
      <c r="G295" s="490"/>
      <c r="H295" s="490"/>
      <c r="I295" s="490"/>
      <c r="J295" s="490"/>
      <c r="K295" s="437"/>
      <c r="L295" s="442"/>
      <c r="M295" s="554"/>
      <c r="N295" s="500"/>
      <c r="O295" s="500"/>
      <c r="P295" s="423"/>
      <c r="Q295" s="554"/>
      <c r="R295" s="500"/>
      <c r="S295" s="500"/>
    </row>
    <row r="296" spans="1:19" ht="18" hidden="1" customHeight="1" outlineLevel="1" x14ac:dyDescent="0.25">
      <c r="A296" s="607" t="s">
        <v>290</v>
      </c>
      <c r="B296" s="502"/>
      <c r="C296" s="502" t="s">
        <v>182</v>
      </c>
      <c r="D296" s="472">
        <f>SUM(D294:D295)</f>
        <v>0</v>
      </c>
      <c r="E296" s="611"/>
      <c r="F296" s="611"/>
      <c r="G296" s="611"/>
      <c r="H296" s="611"/>
      <c r="I296" s="611"/>
      <c r="J296" s="472">
        <f>SUM(J294:J295)</f>
        <v>0</v>
      </c>
      <c r="K296" s="638">
        <f>SUM(K294:K295)</f>
        <v>0</v>
      </c>
      <c r="L296" s="474"/>
      <c r="M296" s="475">
        <f>SUM(M294:M295)</f>
        <v>0</v>
      </c>
      <c r="N296" s="498"/>
      <c r="O296" s="558">
        <f>SUM(O294:O295)</f>
        <v>0</v>
      </c>
      <c r="P296" s="436" t="s">
        <v>169</v>
      </c>
      <c r="Q296" s="610">
        <f>SUM(Q294:Q295)</f>
        <v>0</v>
      </c>
      <c r="R296" s="500"/>
      <c r="S296" s="500"/>
    </row>
    <row r="297" spans="1:19" ht="18" hidden="1" customHeight="1" outlineLevel="1" x14ac:dyDescent="0.2">
      <c r="M297" s="500"/>
      <c r="N297" s="500"/>
      <c r="O297" s="500"/>
      <c r="Q297" s="500"/>
      <c r="R297" s="500"/>
      <c r="S297" s="500"/>
    </row>
    <row r="298" spans="1:19" ht="18" hidden="1" customHeight="1" outlineLevel="1" x14ac:dyDescent="0.2">
      <c r="A298" s="606" t="s">
        <v>325</v>
      </c>
      <c r="B298" s="417" t="s">
        <v>184</v>
      </c>
      <c r="D298" s="520"/>
      <c r="E298" s="520"/>
      <c r="F298" s="520"/>
      <c r="G298" s="490"/>
      <c r="H298" s="490"/>
      <c r="I298" s="490">
        <v>0</v>
      </c>
      <c r="J298" s="490">
        <f>H298-I298</f>
        <v>0</v>
      </c>
      <c r="K298" s="437">
        <f>ROUND(E298+F298+(D298/D$5)+(G298/G$5)+(J298/J$5),2)</f>
        <v>0</v>
      </c>
      <c r="L298" s="442">
        <f>VLOOKUP($B298,weights,2,FALSE)</f>
        <v>1.1379999999999999</v>
      </c>
      <c r="M298" s="552">
        <f>ROUND(K298*L298*$M$5,2)</f>
        <v>0</v>
      </c>
      <c r="N298" s="500" t="s">
        <v>168</v>
      </c>
      <c r="O298" s="495"/>
      <c r="P298" s="423" t="s">
        <v>169</v>
      </c>
      <c r="Q298" s="552">
        <f>O298+M298</f>
        <v>0</v>
      </c>
      <c r="R298" s="500"/>
      <c r="S298" s="500"/>
    </row>
    <row r="299" spans="1:19" s="417" customFormat="1" ht="18" hidden="1" customHeight="1" outlineLevel="1" x14ac:dyDescent="0.2">
      <c r="A299" s="564"/>
      <c r="D299" s="490"/>
      <c r="E299" s="490"/>
      <c r="F299" s="490"/>
      <c r="G299" s="490"/>
      <c r="H299" s="490"/>
      <c r="I299" s="490"/>
      <c r="J299" s="490"/>
      <c r="K299" s="437"/>
      <c r="L299" s="442"/>
      <c r="M299" s="554"/>
      <c r="N299" s="500"/>
      <c r="O299" s="500"/>
      <c r="P299" s="423"/>
      <c r="Q299" s="554"/>
      <c r="R299" s="500"/>
      <c r="S299" s="500"/>
    </row>
    <row r="300" spans="1:19" ht="18" hidden="1" customHeight="1" outlineLevel="1" x14ac:dyDescent="0.25">
      <c r="A300" s="607" t="s">
        <v>294</v>
      </c>
      <c r="B300" s="502"/>
      <c r="C300" s="502" t="s">
        <v>185</v>
      </c>
      <c r="D300" s="611"/>
      <c r="E300" s="611"/>
      <c r="F300" s="611"/>
      <c r="G300" s="472">
        <f>SUM(G298:G299)</f>
        <v>0</v>
      </c>
      <c r="H300" s="472">
        <f>SUM(H298:H299)</f>
        <v>0</v>
      </c>
      <c r="I300" s="472">
        <f>SUM(I298:I299)</f>
        <v>0</v>
      </c>
      <c r="J300" s="472">
        <f>SUM(J298:J299)</f>
        <v>0</v>
      </c>
      <c r="K300" s="638">
        <f>SUM(K298:K299)</f>
        <v>0</v>
      </c>
      <c r="L300" s="474"/>
      <c r="M300" s="475">
        <f>SUM(M298:M299)</f>
        <v>0</v>
      </c>
      <c r="N300" s="498"/>
      <c r="O300" s="558">
        <f>SUM(O298:O299)</f>
        <v>0</v>
      </c>
      <c r="P300" s="436" t="s">
        <v>169</v>
      </c>
      <c r="Q300" s="475">
        <f>SUM(Q298:Q299)</f>
        <v>0</v>
      </c>
      <c r="R300" s="480">
        <f>ROUND($Q300+$Q296,0)</f>
        <v>0</v>
      </c>
      <c r="S300" s="480">
        <f>ROUND($Q300+$Q296,0)</f>
        <v>0</v>
      </c>
    </row>
    <row r="301" spans="1:19" ht="18" hidden="1" customHeight="1" outlineLevel="1" x14ac:dyDescent="0.2">
      <c r="A301" s="606"/>
      <c r="D301" s="570"/>
      <c r="E301" s="570"/>
      <c r="F301" s="570"/>
      <c r="G301" s="570"/>
      <c r="H301" s="490"/>
      <c r="I301" s="490"/>
      <c r="J301" s="490"/>
      <c r="M301" s="500"/>
      <c r="N301" s="500"/>
      <c r="O301" s="500"/>
      <c r="Q301" s="500"/>
      <c r="R301" s="500"/>
      <c r="S301" s="500"/>
    </row>
    <row r="302" spans="1:19" ht="18" hidden="1" customHeight="1" outlineLevel="1" x14ac:dyDescent="0.25">
      <c r="A302" s="648" t="s">
        <v>326</v>
      </c>
      <c r="B302" s="529" t="s">
        <v>187</v>
      </c>
      <c r="C302" s="546" t="s">
        <v>188</v>
      </c>
      <c r="D302" s="471"/>
      <c r="E302" s="471"/>
      <c r="F302" s="471"/>
      <c r="G302" s="472"/>
      <c r="H302" s="472"/>
      <c r="I302" s="472">
        <v>0</v>
      </c>
      <c r="J302" s="472">
        <f>H302-I302</f>
        <v>0</v>
      </c>
      <c r="K302" s="473">
        <f>ROUND(E302+F302+(D302/D$5)+(G302/G$5)+(J302/J$5),2)</f>
        <v>0</v>
      </c>
      <c r="L302" s="474">
        <f>VLOOKUP($B302,weights,2,FALSE)</f>
        <v>1.7210000000000001</v>
      </c>
      <c r="M302" s="499">
        <f>ROUND(K302*L302*$M$5,2)</f>
        <v>0</v>
      </c>
      <c r="N302" s="498" t="s">
        <v>168</v>
      </c>
      <c r="O302" s="479"/>
      <c r="P302" s="436" t="s">
        <v>169</v>
      </c>
      <c r="Q302" s="478">
        <f>O302+M302</f>
        <v>0</v>
      </c>
      <c r="R302" s="480">
        <f>ROUND($Q302,0)</f>
        <v>0</v>
      </c>
      <c r="S302" s="480">
        <f>ROUND($Q302,0)</f>
        <v>0</v>
      </c>
    </row>
    <row r="303" spans="1:19" s="417" customFormat="1" ht="18" customHeight="1" collapsed="1" x14ac:dyDescent="0.25">
      <c r="A303" s="646"/>
      <c r="D303" s="490"/>
      <c r="E303" s="490"/>
      <c r="F303" s="490"/>
      <c r="G303" s="490"/>
      <c r="H303" s="490"/>
      <c r="I303" s="490"/>
      <c r="J303" s="490"/>
      <c r="K303" s="647"/>
      <c r="L303" s="442"/>
      <c r="M303" s="613"/>
      <c r="N303" s="500"/>
      <c r="O303" s="643"/>
      <c r="P303" s="423"/>
      <c r="Q303" s="613"/>
      <c r="R303" s="500"/>
      <c r="S303" s="500"/>
    </row>
    <row r="304" spans="1:19" ht="18" customHeight="1" x14ac:dyDescent="0.25">
      <c r="A304" s="660" t="s">
        <v>330</v>
      </c>
      <c r="B304" s="502" t="s">
        <v>175</v>
      </c>
      <c r="C304" s="649" t="s">
        <v>331</v>
      </c>
      <c r="D304" s="472">
        <f>D300+D296+D292+D288+D284+D302</f>
        <v>0</v>
      </c>
      <c r="E304" s="472">
        <f t="shared" ref="E304:K304" si="52">E300+E296+E292+E288+E284+E302</f>
        <v>30</v>
      </c>
      <c r="F304" s="472">
        <f t="shared" si="52"/>
        <v>0</v>
      </c>
      <c r="G304" s="472">
        <f t="shared" si="52"/>
        <v>0</v>
      </c>
      <c r="H304" s="472">
        <f t="shared" si="52"/>
        <v>0</v>
      </c>
      <c r="I304" s="472">
        <f t="shared" si="52"/>
        <v>0</v>
      </c>
      <c r="J304" s="472">
        <f t="shared" si="52"/>
        <v>0</v>
      </c>
      <c r="K304" s="650">
        <f t="shared" si="52"/>
        <v>30</v>
      </c>
      <c r="L304" s="474"/>
      <c r="M304" s="486">
        <f>M300+M296+M292+M288+M284+M302</f>
        <v>1371953</v>
      </c>
      <c r="N304" s="432"/>
      <c r="O304" s="521">
        <f>O300+O296+O292+O288+O284+O302</f>
        <v>0</v>
      </c>
      <c r="P304" s="436"/>
      <c r="Q304" s="497">
        <f>Q300+Q296+Q292+Q288+Q284+Q302</f>
        <v>1371953</v>
      </c>
      <c r="R304" s="489">
        <f t="shared" ref="R304:S304" si="53">R300+R296+R292+R288+R284+R302</f>
        <v>1371953</v>
      </c>
      <c r="S304" s="489">
        <f t="shared" si="53"/>
        <v>1371953</v>
      </c>
    </row>
    <row r="305" spans="1:20" ht="18" customHeight="1" x14ac:dyDescent="0.25">
      <c r="D305" s="490"/>
      <c r="E305" s="490"/>
      <c r="F305" s="490"/>
      <c r="G305" s="490"/>
      <c r="H305" s="490"/>
      <c r="I305" s="490"/>
      <c r="J305" s="490"/>
      <c r="K305" s="437" t="str">
        <f>IF(K304='Link Data'!M205,"","Error")</f>
        <v/>
      </c>
      <c r="M305" s="491"/>
    </row>
    <row r="306" spans="1:20" ht="18" customHeight="1" x14ac:dyDescent="0.25">
      <c r="D306" s="490"/>
      <c r="E306" s="490"/>
      <c r="F306" s="490"/>
      <c r="G306" s="490"/>
      <c r="H306" s="490"/>
      <c r="I306" s="490"/>
      <c r="J306" s="490"/>
      <c r="M306" s="491"/>
    </row>
    <row r="307" spans="1:20" ht="18" customHeight="1" x14ac:dyDescent="0.25">
      <c r="D307" s="490"/>
      <c r="E307" s="490"/>
      <c r="F307" s="490"/>
      <c r="G307" s="490"/>
      <c r="H307" s="490"/>
      <c r="I307" s="490"/>
      <c r="J307" s="490"/>
      <c r="M307" s="491"/>
    </row>
    <row r="308" spans="1:20" s="529" customFormat="1" ht="18" customHeight="1" x14ac:dyDescent="0.25">
      <c r="A308" s="663" t="s">
        <v>332</v>
      </c>
      <c r="B308" s="664" t="s">
        <v>175</v>
      </c>
      <c r="D308" s="665">
        <f t="shared" ref="D308:K308" si="54">SUMIF($B$8:$B$307,$B$308,D$8:D$308)</f>
        <v>191127</v>
      </c>
      <c r="E308" s="665">
        <f t="shared" si="54"/>
        <v>8065</v>
      </c>
      <c r="F308" s="665">
        <f t="shared" si="54"/>
        <v>287</v>
      </c>
      <c r="G308" s="665">
        <f t="shared" si="54"/>
        <v>264667</v>
      </c>
      <c r="H308" s="665">
        <f t="shared" si="54"/>
        <v>69478</v>
      </c>
      <c r="I308" s="665">
        <f t="shared" si="54"/>
        <v>1431</v>
      </c>
      <c r="J308" s="472">
        <f t="shared" si="54"/>
        <v>68047</v>
      </c>
      <c r="K308" s="650">
        <f t="shared" si="54"/>
        <v>29531.109999999997</v>
      </c>
      <c r="L308" s="474"/>
      <c r="M308" s="486">
        <f>SUMIF($B$8:$B$307,$B$308,M$8:M$308)</f>
        <v>627548052.59999979</v>
      </c>
      <c r="N308" s="534" t="s">
        <v>168</v>
      </c>
      <c r="O308" s="521">
        <f>SUMIF($B$8:$B$307,$B$308,O$8:O$308)</f>
        <v>19882230</v>
      </c>
      <c r="P308" s="436" t="s">
        <v>169</v>
      </c>
      <c r="Q308" s="497">
        <f>SUMIF($B$8:$B$307,$B$308,Q$8:Q$308)</f>
        <v>647430282.59999979</v>
      </c>
      <c r="R308" s="489">
        <f>SUMIF($B$8:$B$307,$B$308,R$8:R$308)</f>
        <v>647430283</v>
      </c>
      <c r="S308" s="489">
        <f>SUMIF($B$8:$B$307,$B$308,S$8:S$308)</f>
        <v>647430283</v>
      </c>
      <c r="T308" s="666"/>
    </row>
    <row r="309" spans="1:20" ht="18" customHeight="1" x14ac:dyDescent="0.25">
      <c r="Q309" s="552">
        <f>R308-Q308</f>
        <v>0.40000021457672119</v>
      </c>
      <c r="R309" s="495"/>
    </row>
    <row r="310" spans="1:20" ht="18" customHeight="1" x14ac:dyDescent="0.25">
      <c r="D310" s="490"/>
      <c r="E310" s="490"/>
      <c r="F310" s="667"/>
      <c r="G310" s="490"/>
      <c r="H310" s="490"/>
      <c r="I310" s="490"/>
      <c r="J310" s="490"/>
      <c r="M310" s="552"/>
      <c r="O310" s="591"/>
      <c r="R310" s="668" t="s">
        <v>70</v>
      </c>
      <c r="S310" s="669">
        <f>R308+S308</f>
        <v>1294860566</v>
      </c>
    </row>
    <row r="311" spans="1:20" ht="18" customHeight="1" x14ac:dyDescent="0.25">
      <c r="D311" s="667"/>
      <c r="E311" s="490"/>
      <c r="F311" s="490"/>
      <c r="G311" s="667"/>
      <c r="H311" s="667"/>
      <c r="J311" s="667"/>
      <c r="K311" s="493"/>
      <c r="L311" s="590"/>
      <c r="M311" s="591"/>
      <c r="N311" s="670"/>
      <c r="O311" s="591"/>
      <c r="R311" s="649"/>
      <c r="S311" s="671"/>
    </row>
    <row r="312" spans="1:20" ht="18" customHeight="1" x14ac:dyDescent="0.25">
      <c r="A312" s="552" t="s">
        <v>333</v>
      </c>
      <c r="D312" s="490"/>
      <c r="E312" s="490"/>
      <c r="F312" s="490"/>
      <c r="G312" s="490"/>
      <c r="H312" s="490"/>
      <c r="I312" s="490"/>
      <c r="J312" s="490"/>
      <c r="L312" s="590"/>
      <c r="M312" s="563"/>
      <c r="N312" s="670"/>
      <c r="O312" s="563"/>
      <c r="S312" s="672">
        <v>1294860566</v>
      </c>
    </row>
    <row r="313" spans="1:20" ht="18" customHeight="1" x14ac:dyDescent="0.2">
      <c r="A313" s="673"/>
      <c r="B313" s="417" t="s">
        <v>334</v>
      </c>
      <c r="K313" s="493"/>
      <c r="L313" s="590"/>
      <c r="M313" s="563"/>
      <c r="N313" s="563"/>
      <c r="O313" s="563"/>
      <c r="P313" s="563"/>
      <c r="Q313" s="563"/>
      <c r="R313" s="591"/>
      <c r="S313" s="591">
        <f>S310-S312</f>
        <v>0</v>
      </c>
    </row>
    <row r="314" spans="1:20" ht="18" customHeight="1" x14ac:dyDescent="0.2">
      <c r="A314" s="674"/>
      <c r="B314" s="563" t="s">
        <v>335</v>
      </c>
      <c r="C314" s="563"/>
      <c r="D314" s="563"/>
      <c r="E314" s="563"/>
      <c r="F314" s="563"/>
      <c r="G314" s="563"/>
      <c r="K314" s="675"/>
      <c r="L314" s="590"/>
      <c r="M314" s="563"/>
      <c r="N314" s="563"/>
      <c r="O314" s="563"/>
      <c r="P314" s="563"/>
      <c r="Q314" s="563"/>
      <c r="S314" s="563"/>
    </row>
    <row r="315" spans="1:20" ht="18" customHeight="1" x14ac:dyDescent="0.2">
      <c r="A315" s="676"/>
      <c r="B315" s="417" t="s">
        <v>336</v>
      </c>
      <c r="K315" s="493"/>
      <c r="L315" s="590"/>
      <c r="M315" s="563"/>
      <c r="N315" s="563"/>
      <c r="O315" s="563"/>
      <c r="P315" s="563"/>
      <c r="Q315" s="563"/>
      <c r="S315" s="495"/>
    </row>
    <row r="316" spans="1:20" ht="18" customHeight="1" x14ac:dyDescent="0.2">
      <c r="L316" s="590"/>
      <c r="M316" s="563"/>
      <c r="N316" s="563"/>
      <c r="O316" s="563"/>
      <c r="P316" s="563"/>
      <c r="Q316" s="563"/>
      <c r="R316" s="495"/>
    </row>
    <row r="317" spans="1:20" ht="18" customHeight="1" x14ac:dyDescent="0.2">
      <c r="K317" s="493"/>
      <c r="L317" s="590"/>
      <c r="M317" s="563"/>
      <c r="N317" s="563"/>
      <c r="O317" s="563"/>
      <c r="P317" s="563"/>
      <c r="Q317" s="563"/>
      <c r="S317" s="423"/>
    </row>
    <row r="318" spans="1:20" ht="18" customHeight="1" x14ac:dyDescent="0.2">
      <c r="K318" s="493"/>
      <c r="L318" s="590"/>
      <c r="M318" s="563"/>
      <c r="N318" s="563"/>
      <c r="O318" s="563"/>
      <c r="P318" s="563"/>
      <c r="Q318" s="563"/>
      <c r="R318" s="495"/>
      <c r="S318" s="495"/>
    </row>
    <row r="319" spans="1:20" ht="18" customHeight="1" x14ac:dyDescent="0.25"/>
    <row r="320" spans="1:20" ht="18" customHeight="1" x14ac:dyDescent="0.25">
      <c r="K320" s="677"/>
      <c r="Q320" s="495"/>
      <c r="R320" s="495"/>
    </row>
    <row r="321" spans="1:19" ht="18" customHeight="1" x14ac:dyDescent="0.25">
      <c r="R321" s="1042" t="s">
        <v>337</v>
      </c>
      <c r="S321" s="1042"/>
    </row>
    <row r="322" spans="1:19" ht="18" customHeight="1" x14ac:dyDescent="0.25">
      <c r="A322" s="441" t="s">
        <v>93</v>
      </c>
      <c r="R322" s="1043" t="s">
        <v>338</v>
      </c>
      <c r="S322" s="1043"/>
    </row>
    <row r="323" spans="1:19" ht="18" customHeight="1" x14ac:dyDescent="0.25">
      <c r="A323" s="678" t="s">
        <v>100</v>
      </c>
      <c r="B323" s="417" t="s">
        <v>172</v>
      </c>
      <c r="C323" s="417" t="s">
        <v>173</v>
      </c>
      <c r="D323" s="437">
        <f t="shared" ref="D323:D331" si="55">ROUND((SUMIF($B$9:$B$307,$B323,D$9:D$307)/D$5),2)</f>
        <v>1253.5999999999999</v>
      </c>
      <c r="E323" s="490">
        <f t="shared" ref="E323:F331" si="56">ROUND(SUMIF($B$9:$B$307,$B323,E$9:E$307),2)</f>
        <v>0</v>
      </c>
      <c r="F323" s="490">
        <f t="shared" si="56"/>
        <v>0</v>
      </c>
      <c r="G323" s="437">
        <f t="shared" ref="G323:G331" si="57">ROUND((SUMIF($B$9:$B$307,$B323,G$9:G$307)/G$5),2)</f>
        <v>4431.29</v>
      </c>
      <c r="J323" s="437">
        <f t="shared" ref="J323:J331" si="58">ROUND((SUMIF($B$9:$B$307,$B323,J$9:J$307)/J$5),2)</f>
        <v>769.17</v>
      </c>
      <c r="K323" s="679">
        <f t="shared" ref="K323:K331" si="59">SUMIF($B$9:$B$307,$B323,K$9:K$307)</f>
        <v>6454.07</v>
      </c>
      <c r="M323" s="437"/>
      <c r="O323" s="495">
        <f t="shared" ref="O323:S331" si="60">SUMIF($C$7:$C$307,$C323,O$7:O$307)</f>
        <v>2852938</v>
      </c>
      <c r="P323" s="423">
        <f t="shared" si="60"/>
        <v>0</v>
      </c>
      <c r="Q323" s="680">
        <f t="shared" si="60"/>
        <v>64951827.799999997</v>
      </c>
      <c r="R323" s="580">
        <f t="shared" si="60"/>
        <v>64951828</v>
      </c>
      <c r="S323" s="580">
        <f t="shared" si="60"/>
        <v>64951828</v>
      </c>
    </row>
    <row r="324" spans="1:19" ht="18" customHeight="1" x14ac:dyDescent="0.25">
      <c r="A324" s="681" t="s">
        <v>101</v>
      </c>
      <c r="B324" s="417" t="s">
        <v>170</v>
      </c>
      <c r="C324" s="417" t="s">
        <v>171</v>
      </c>
      <c r="D324" s="437">
        <f t="shared" si="55"/>
        <v>0</v>
      </c>
      <c r="E324" s="490">
        <f t="shared" si="56"/>
        <v>0</v>
      </c>
      <c r="F324" s="490">
        <f t="shared" si="56"/>
        <v>0</v>
      </c>
      <c r="G324" s="437">
        <f t="shared" si="57"/>
        <v>1066.5</v>
      </c>
      <c r="J324" s="437">
        <f t="shared" si="58"/>
        <v>1761.72</v>
      </c>
      <c r="K324" s="679">
        <f t="shared" si="59"/>
        <v>2828.24</v>
      </c>
      <c r="M324" s="437"/>
      <c r="O324" s="500">
        <f t="shared" si="60"/>
        <v>2234243</v>
      </c>
      <c r="P324" s="423">
        <f t="shared" si="60"/>
        <v>0</v>
      </c>
      <c r="Q324" s="554">
        <f t="shared" si="60"/>
        <v>29936439.330000002</v>
      </c>
      <c r="R324" s="634">
        <f t="shared" si="60"/>
        <v>29936440</v>
      </c>
      <c r="S324" s="634">
        <f t="shared" si="60"/>
        <v>29936440</v>
      </c>
    </row>
    <row r="325" spans="1:19" ht="18" customHeight="1" x14ac:dyDescent="0.25">
      <c r="A325" s="681" t="s">
        <v>102</v>
      </c>
      <c r="B325" s="417" t="s">
        <v>198</v>
      </c>
      <c r="C325" s="417" t="s">
        <v>199</v>
      </c>
      <c r="D325" s="437">
        <f t="shared" si="55"/>
        <v>0</v>
      </c>
      <c r="E325" s="490">
        <f t="shared" si="56"/>
        <v>0</v>
      </c>
      <c r="F325" s="490">
        <f t="shared" si="56"/>
        <v>0</v>
      </c>
      <c r="G325" s="437">
        <f t="shared" si="57"/>
        <v>140.21</v>
      </c>
      <c r="J325" s="437">
        <f t="shared" si="58"/>
        <v>32.61</v>
      </c>
      <c r="K325" s="679">
        <f t="shared" si="59"/>
        <v>172.82</v>
      </c>
      <c r="M325" s="437"/>
      <c r="O325" s="500">
        <f t="shared" si="60"/>
        <v>0</v>
      </c>
      <c r="P325" s="423">
        <f t="shared" si="60"/>
        <v>0</v>
      </c>
      <c r="Q325" s="554">
        <f t="shared" si="60"/>
        <v>2909927.8</v>
      </c>
      <c r="R325" s="634">
        <f t="shared" si="60"/>
        <v>2909928</v>
      </c>
      <c r="S325" s="634">
        <f t="shared" si="60"/>
        <v>2909928</v>
      </c>
    </row>
    <row r="326" spans="1:19" ht="18" customHeight="1" x14ac:dyDescent="0.25">
      <c r="A326" s="681" t="s">
        <v>135</v>
      </c>
      <c r="B326" s="417" t="s">
        <v>181</v>
      </c>
      <c r="C326" s="417" t="s">
        <v>182</v>
      </c>
      <c r="D326" s="437">
        <f t="shared" si="55"/>
        <v>4530.8</v>
      </c>
      <c r="E326" s="490">
        <f t="shared" si="56"/>
        <v>0</v>
      </c>
      <c r="F326" s="490">
        <f t="shared" si="56"/>
        <v>0</v>
      </c>
      <c r="G326" s="437">
        <f t="shared" si="57"/>
        <v>3.08</v>
      </c>
      <c r="J326" s="437">
        <f t="shared" si="58"/>
        <v>0</v>
      </c>
      <c r="K326" s="679">
        <f t="shared" si="59"/>
        <v>4533.87</v>
      </c>
      <c r="M326" s="437"/>
      <c r="O326" s="500">
        <f t="shared" si="60"/>
        <v>2001651</v>
      </c>
      <c r="P326" s="423">
        <f t="shared" si="60"/>
        <v>0</v>
      </c>
      <c r="Q326" s="554">
        <f t="shared" si="60"/>
        <v>51645047.810000002</v>
      </c>
      <c r="R326" s="634">
        <f t="shared" si="60"/>
        <v>10119366</v>
      </c>
      <c r="S326" s="634">
        <f t="shared" si="60"/>
        <v>10119366</v>
      </c>
    </row>
    <row r="327" spans="1:19" ht="18" customHeight="1" x14ac:dyDescent="0.25">
      <c r="A327" s="681" t="s">
        <v>183</v>
      </c>
      <c r="B327" s="417" t="s">
        <v>184</v>
      </c>
      <c r="C327" s="417" t="s">
        <v>185</v>
      </c>
      <c r="D327" s="437">
        <f t="shared" si="55"/>
        <v>0</v>
      </c>
      <c r="E327" s="490">
        <f t="shared" si="56"/>
        <v>0</v>
      </c>
      <c r="F327" s="490">
        <f t="shared" si="56"/>
        <v>0</v>
      </c>
      <c r="G327" s="437">
        <f t="shared" si="57"/>
        <v>1471.75</v>
      </c>
      <c r="J327" s="437">
        <f t="shared" si="58"/>
        <v>748.22</v>
      </c>
      <c r="K327" s="679">
        <f t="shared" si="59"/>
        <v>2219.98</v>
      </c>
      <c r="M327" s="682">
        <f>K327+K326</f>
        <v>6753.85</v>
      </c>
      <c r="O327" s="500">
        <f t="shared" si="60"/>
        <v>0</v>
      </c>
      <c r="P327" s="423">
        <f t="shared" si="60"/>
        <v>0</v>
      </c>
      <c r="Q327" s="554">
        <f t="shared" si="60"/>
        <v>24307566.82</v>
      </c>
      <c r="R327" s="634">
        <f t="shared" si="60"/>
        <v>65833249</v>
      </c>
      <c r="S327" s="634">
        <f t="shared" si="60"/>
        <v>65833249</v>
      </c>
    </row>
    <row r="328" spans="1:19" ht="18" customHeight="1" x14ac:dyDescent="0.25">
      <c r="A328" s="681" t="s">
        <v>104</v>
      </c>
      <c r="B328" s="417" t="s">
        <v>258</v>
      </c>
      <c r="C328" s="417" t="s">
        <v>261</v>
      </c>
      <c r="D328" s="437">
        <f t="shared" si="55"/>
        <v>0</v>
      </c>
      <c r="E328" s="490">
        <f t="shared" si="56"/>
        <v>0</v>
      </c>
      <c r="F328" s="490">
        <f t="shared" si="56"/>
        <v>0</v>
      </c>
      <c r="G328" s="437">
        <f t="shared" si="57"/>
        <v>2292.42</v>
      </c>
      <c r="J328" s="437">
        <f t="shared" si="58"/>
        <v>0</v>
      </c>
      <c r="K328" s="679">
        <f t="shared" si="59"/>
        <v>2292.42</v>
      </c>
      <c r="M328" s="437"/>
      <c r="O328" s="500">
        <f t="shared" si="60"/>
        <v>0</v>
      </c>
      <c r="P328" s="423">
        <f t="shared" si="60"/>
        <v>0</v>
      </c>
      <c r="Q328" s="554">
        <f t="shared" si="60"/>
        <v>36835012.730000004</v>
      </c>
      <c r="R328" s="634">
        <f t="shared" si="60"/>
        <v>36835012</v>
      </c>
      <c r="S328" s="634">
        <f t="shared" si="60"/>
        <v>36835012</v>
      </c>
    </row>
    <row r="329" spans="1:19" ht="18" customHeight="1" x14ac:dyDescent="0.25">
      <c r="A329" s="681" t="s">
        <v>105</v>
      </c>
      <c r="B329" s="417" t="s">
        <v>187</v>
      </c>
      <c r="C329" s="417" t="s">
        <v>188</v>
      </c>
      <c r="D329" s="437">
        <f t="shared" si="55"/>
        <v>586.5</v>
      </c>
      <c r="E329" s="490">
        <f t="shared" si="56"/>
        <v>0</v>
      </c>
      <c r="F329" s="490">
        <f t="shared" si="56"/>
        <v>0</v>
      </c>
      <c r="G329" s="437">
        <f t="shared" si="57"/>
        <v>1622.54</v>
      </c>
      <c r="J329" s="437">
        <f t="shared" si="58"/>
        <v>468.67</v>
      </c>
      <c r="K329" s="679">
        <f t="shared" si="59"/>
        <v>2677.71</v>
      </c>
      <c r="M329" s="437"/>
      <c r="O329" s="500">
        <f t="shared" si="60"/>
        <v>5237148</v>
      </c>
      <c r="P329" s="423">
        <f t="shared" si="60"/>
        <v>0</v>
      </c>
      <c r="Q329" s="554">
        <f t="shared" si="60"/>
        <v>49577034.309999995</v>
      </c>
      <c r="R329" s="634">
        <f t="shared" si="60"/>
        <v>49577034</v>
      </c>
      <c r="S329" s="634">
        <f t="shared" si="60"/>
        <v>49577034</v>
      </c>
    </row>
    <row r="330" spans="1:19" ht="18" customHeight="1" x14ac:dyDescent="0.25">
      <c r="A330" s="681" t="s">
        <v>106</v>
      </c>
      <c r="B330" s="417" t="s">
        <v>192</v>
      </c>
      <c r="C330" s="417" t="s">
        <v>193</v>
      </c>
      <c r="D330" s="437">
        <f t="shared" si="55"/>
        <v>0</v>
      </c>
      <c r="E330" s="490">
        <f t="shared" si="56"/>
        <v>1245</v>
      </c>
      <c r="F330" s="490">
        <f t="shared" si="56"/>
        <v>287</v>
      </c>
      <c r="G330" s="437">
        <f t="shared" si="57"/>
        <v>0</v>
      </c>
      <c r="J330" s="437">
        <f t="shared" si="58"/>
        <v>0</v>
      </c>
      <c r="K330" s="679">
        <f t="shared" si="59"/>
        <v>1532</v>
      </c>
      <c r="M330" s="437"/>
      <c r="O330" s="500">
        <f t="shared" si="60"/>
        <v>117600</v>
      </c>
      <c r="P330" s="423">
        <f t="shared" si="60"/>
        <v>0</v>
      </c>
      <c r="Q330" s="554">
        <f t="shared" si="60"/>
        <v>67938127.450000003</v>
      </c>
      <c r="R330" s="634">
        <f t="shared" si="60"/>
        <v>67938128</v>
      </c>
      <c r="S330" s="634">
        <f t="shared" si="60"/>
        <v>67938128</v>
      </c>
    </row>
    <row r="331" spans="1:19" ht="18" customHeight="1" x14ac:dyDescent="0.25">
      <c r="A331" s="681" t="s">
        <v>107</v>
      </c>
      <c r="B331" s="417" t="s">
        <v>166</v>
      </c>
      <c r="C331" s="417" t="s">
        <v>167</v>
      </c>
      <c r="D331" s="437">
        <f t="shared" si="55"/>
        <v>0</v>
      </c>
      <c r="E331" s="490">
        <f t="shared" si="56"/>
        <v>6820</v>
      </c>
      <c r="F331" s="490">
        <f t="shared" si="56"/>
        <v>0</v>
      </c>
      <c r="G331" s="437">
        <f t="shared" si="57"/>
        <v>0</v>
      </c>
      <c r="J331" s="437">
        <f t="shared" si="58"/>
        <v>0</v>
      </c>
      <c r="K331" s="679">
        <f t="shared" si="59"/>
        <v>6820</v>
      </c>
      <c r="M331" s="437"/>
      <c r="O331" s="622">
        <f t="shared" si="60"/>
        <v>7438650</v>
      </c>
      <c r="P331" s="627">
        <f t="shared" si="60"/>
        <v>0</v>
      </c>
      <c r="Q331" s="628">
        <f t="shared" si="60"/>
        <v>319329298.55000001</v>
      </c>
      <c r="R331" s="683">
        <f t="shared" si="60"/>
        <v>319329298</v>
      </c>
      <c r="S331" s="683">
        <f t="shared" si="60"/>
        <v>319329298</v>
      </c>
    </row>
    <row r="332" spans="1:19" ht="18" customHeight="1" x14ac:dyDescent="0.25">
      <c r="A332" s="684" t="s">
        <v>108</v>
      </c>
      <c r="B332" s="684"/>
      <c r="C332" s="684"/>
      <c r="D332" s="685">
        <f>SUM(D323:D331)</f>
        <v>6370.9</v>
      </c>
      <c r="E332" s="686">
        <f>SUM(E323:E331)</f>
        <v>8065</v>
      </c>
      <c r="F332" s="686">
        <f>SUM(F323:F331)</f>
        <v>287</v>
      </c>
      <c r="G332" s="685">
        <f>SUM(G323:G331)</f>
        <v>11027.79</v>
      </c>
      <c r="H332" s="684"/>
      <c r="I332" s="684"/>
      <c r="J332" s="685">
        <f>SUM(J323:J331)</f>
        <v>3780.3900000000003</v>
      </c>
      <c r="K332" s="685">
        <f>SUM(K323:K331)</f>
        <v>29531.11</v>
      </c>
      <c r="M332" s="437"/>
      <c r="O332" s="495">
        <f>SUM(O323:O331)</f>
        <v>19882230</v>
      </c>
      <c r="Q332" s="680">
        <f>SUM(Q323:Q331)</f>
        <v>647430282.60000002</v>
      </c>
      <c r="R332" s="495">
        <f>SUM(R323:R331)</f>
        <v>647430283</v>
      </c>
      <c r="S332" s="495">
        <f>SUM(S323:S331)</f>
        <v>647430283</v>
      </c>
    </row>
    <row r="333" spans="1:19" ht="18" customHeight="1" x14ac:dyDescent="0.25">
      <c r="D333" s="437"/>
      <c r="E333" s="490"/>
      <c r="F333" s="490"/>
      <c r="G333" s="437"/>
      <c r="J333" s="417" t="s">
        <v>339</v>
      </c>
      <c r="K333" s="437">
        <f>SUM(D332:J332)</f>
        <v>29531.08</v>
      </c>
      <c r="M333" s="437"/>
      <c r="O333" s="437"/>
      <c r="Q333" s="680"/>
      <c r="S333" s="476">
        <f>R332+S332</f>
        <v>1294860566</v>
      </c>
    </row>
    <row r="334" spans="1:19" ht="18" customHeight="1" x14ac:dyDescent="0.25">
      <c r="D334" s="437"/>
      <c r="E334" s="490">
        <f>E332-E308</f>
        <v>0</v>
      </c>
      <c r="F334" s="490">
        <f>F332-F308</f>
        <v>0</v>
      </c>
      <c r="G334" s="437"/>
      <c r="J334" s="437"/>
      <c r="K334" s="437">
        <f>K332-K308</f>
        <v>0</v>
      </c>
      <c r="Q334" s="680"/>
      <c r="R334" s="417" t="s">
        <v>340</v>
      </c>
      <c r="S334" s="495">
        <f>S310-S333</f>
        <v>0</v>
      </c>
    </row>
    <row r="335" spans="1:19" ht="18" customHeight="1" x14ac:dyDescent="0.25">
      <c r="E335" s="490"/>
      <c r="F335" s="490"/>
      <c r="O335" s="687">
        <f>O314</f>
        <v>0</v>
      </c>
      <c r="P335" s="688" t="s">
        <v>169</v>
      </c>
      <c r="Q335" s="689">
        <f>Q314</f>
        <v>0</v>
      </c>
      <c r="R335" s="500"/>
      <c r="S335" s="500"/>
    </row>
    <row r="336" spans="1:19" ht="18" customHeight="1" x14ac:dyDescent="0.25">
      <c r="E336" s="490">
        <f>E332-E330</f>
        <v>6820</v>
      </c>
      <c r="F336" s="490"/>
      <c r="O336" s="495">
        <f>O335-O332</f>
        <v>-19882230</v>
      </c>
      <c r="Q336" s="680">
        <f>Q335-Q332</f>
        <v>-647430282.60000002</v>
      </c>
      <c r="R336" s="500"/>
      <c r="S336" s="500"/>
    </row>
    <row r="337" spans="1:19" ht="18" customHeight="1" x14ac:dyDescent="0.25">
      <c r="E337" s="490"/>
      <c r="F337" s="490"/>
      <c r="M337" s="437"/>
      <c r="Q337" s="680"/>
      <c r="R337" s="495"/>
      <c r="S337" s="495"/>
    </row>
    <row r="338" spans="1:19" ht="18" customHeight="1" x14ac:dyDescent="0.25">
      <c r="A338" s="690" t="s">
        <v>341</v>
      </c>
      <c r="E338" s="490"/>
      <c r="F338" s="490"/>
      <c r="Q338" s="680"/>
    </row>
    <row r="339" spans="1:19" ht="18" customHeight="1" x14ac:dyDescent="0.25">
      <c r="E339" s="490"/>
      <c r="F339" s="490"/>
      <c r="Q339" s="680"/>
    </row>
    <row r="340" spans="1:19" ht="18" customHeight="1" x14ac:dyDescent="0.25">
      <c r="A340" s="681" t="s">
        <v>8</v>
      </c>
      <c r="C340" s="417" t="s">
        <v>176</v>
      </c>
      <c r="D340" s="490">
        <f t="shared" ref="D340:G352" si="61">(SUMIF($C$9:$C$307,$C340,D$9:D$307))</f>
        <v>0</v>
      </c>
      <c r="E340" s="490">
        <f t="shared" si="61"/>
        <v>892</v>
      </c>
      <c r="F340" s="490">
        <f t="shared" si="61"/>
        <v>0</v>
      </c>
      <c r="G340" s="490">
        <f t="shared" si="61"/>
        <v>17096</v>
      </c>
      <c r="J340" s="490">
        <f t="shared" ref="J340:K352" si="62">(SUMIF($C$9:$C$307,$C340,J$9:J$307))</f>
        <v>11324</v>
      </c>
      <c r="K340" s="679">
        <f t="shared" si="62"/>
        <v>2233.4499999999998</v>
      </c>
      <c r="O340" s="495">
        <f t="shared" ref="O340:O352" si="63">SUMIF($C$7:$C$307,$C340,O$7:O$307)</f>
        <v>0</v>
      </c>
      <c r="Q340" s="680">
        <f t="shared" ref="Q340:S352" si="64">SUMIF($C$7:$C$307,$C340,Q$7:Q$307)</f>
        <v>53839115.209999993</v>
      </c>
      <c r="R340" s="691">
        <f t="shared" si="64"/>
        <v>53839116</v>
      </c>
      <c r="S340" s="495">
        <f t="shared" si="64"/>
        <v>53839116</v>
      </c>
    </row>
    <row r="341" spans="1:19" ht="18" customHeight="1" x14ac:dyDescent="0.25">
      <c r="A341" s="681" t="s">
        <v>3</v>
      </c>
      <c r="C341" s="417" t="s">
        <v>190</v>
      </c>
      <c r="D341" s="490">
        <f t="shared" si="61"/>
        <v>26890</v>
      </c>
      <c r="E341" s="490">
        <f t="shared" si="61"/>
        <v>955</v>
      </c>
      <c r="F341" s="490">
        <f t="shared" si="61"/>
        <v>0</v>
      </c>
      <c r="G341" s="490">
        <f t="shared" si="61"/>
        <v>33854</v>
      </c>
      <c r="J341" s="490">
        <f t="shared" si="62"/>
        <v>10894</v>
      </c>
      <c r="K341" s="679">
        <f t="shared" si="62"/>
        <v>3867.1500000000005</v>
      </c>
      <c r="O341" s="500">
        <f t="shared" si="63"/>
        <v>0</v>
      </c>
      <c r="Q341" s="554">
        <f t="shared" si="64"/>
        <v>73752006.379999995</v>
      </c>
      <c r="R341" s="692">
        <f t="shared" si="64"/>
        <v>73752006</v>
      </c>
      <c r="S341" s="500">
        <f t="shared" si="64"/>
        <v>73752006</v>
      </c>
    </row>
    <row r="342" spans="1:19" ht="18" customHeight="1" x14ac:dyDescent="0.25">
      <c r="A342" s="681" t="s">
        <v>4</v>
      </c>
      <c r="C342" s="417" t="s">
        <v>213</v>
      </c>
      <c r="D342" s="490">
        <f t="shared" si="61"/>
        <v>27196</v>
      </c>
      <c r="E342" s="490">
        <f t="shared" si="61"/>
        <v>1397</v>
      </c>
      <c r="F342" s="490">
        <f t="shared" si="61"/>
        <v>89</v>
      </c>
      <c r="G342" s="490">
        <f t="shared" si="61"/>
        <v>39827</v>
      </c>
      <c r="J342" s="490">
        <f t="shared" si="62"/>
        <v>21080</v>
      </c>
      <c r="K342" s="679">
        <f t="shared" si="62"/>
        <v>5223.0899999999992</v>
      </c>
      <c r="O342" s="500">
        <f t="shared" si="63"/>
        <v>3463670</v>
      </c>
      <c r="Q342" s="554">
        <f t="shared" si="64"/>
        <v>119240912.19999999</v>
      </c>
      <c r="R342" s="692">
        <f t="shared" si="64"/>
        <v>119240913</v>
      </c>
      <c r="S342" s="500">
        <f t="shared" si="64"/>
        <v>119240913</v>
      </c>
    </row>
    <row r="343" spans="1:19" ht="18" customHeight="1" x14ac:dyDescent="0.25">
      <c r="A343" s="681" t="s">
        <v>6</v>
      </c>
      <c r="C343" s="417" t="s">
        <v>229</v>
      </c>
      <c r="D343" s="490">
        <f t="shared" si="61"/>
        <v>28433</v>
      </c>
      <c r="E343" s="490">
        <f t="shared" si="61"/>
        <v>1271</v>
      </c>
      <c r="F343" s="490">
        <f t="shared" si="61"/>
        <v>107</v>
      </c>
      <c r="G343" s="490">
        <f t="shared" si="61"/>
        <v>21300</v>
      </c>
      <c r="J343" s="490">
        <f t="shared" si="62"/>
        <v>13436</v>
      </c>
      <c r="K343" s="679">
        <f t="shared" si="62"/>
        <v>3959.7</v>
      </c>
      <c r="O343" s="500">
        <f t="shared" si="63"/>
        <v>434457</v>
      </c>
      <c r="Q343" s="554">
        <f t="shared" si="64"/>
        <v>88807371.320000008</v>
      </c>
      <c r="R343" s="692">
        <f t="shared" si="64"/>
        <v>88807371</v>
      </c>
      <c r="S343" s="500">
        <f t="shared" si="64"/>
        <v>88807371</v>
      </c>
    </row>
    <row r="344" spans="1:19" ht="18" customHeight="1" x14ac:dyDescent="0.25">
      <c r="A344" s="681" t="s">
        <v>2</v>
      </c>
      <c r="C344" s="417" t="s">
        <v>232</v>
      </c>
      <c r="D344" s="490">
        <f t="shared" si="61"/>
        <v>10866</v>
      </c>
      <c r="E344" s="490">
        <f t="shared" si="61"/>
        <v>0</v>
      </c>
      <c r="F344" s="490">
        <f t="shared" si="61"/>
        <v>0</v>
      </c>
      <c r="G344" s="490">
        <f t="shared" si="61"/>
        <v>726</v>
      </c>
      <c r="J344" s="490">
        <f t="shared" si="62"/>
        <v>0</v>
      </c>
      <c r="K344" s="679">
        <f t="shared" si="62"/>
        <v>392.45</v>
      </c>
      <c r="O344" s="500">
        <f t="shared" si="63"/>
        <v>0</v>
      </c>
      <c r="Q344" s="554">
        <f t="shared" si="64"/>
        <v>3776021.84</v>
      </c>
      <c r="R344" s="692">
        <f t="shared" si="64"/>
        <v>3776022</v>
      </c>
      <c r="S344" s="500">
        <f t="shared" si="64"/>
        <v>3776022</v>
      </c>
    </row>
    <row r="345" spans="1:19" ht="18" customHeight="1" x14ac:dyDescent="0.25">
      <c r="A345" s="681" t="s">
        <v>5</v>
      </c>
      <c r="C345" s="417" t="s">
        <v>236</v>
      </c>
      <c r="D345" s="490">
        <f t="shared" si="61"/>
        <v>0</v>
      </c>
      <c r="E345" s="490">
        <f t="shared" si="61"/>
        <v>0</v>
      </c>
      <c r="F345" s="490">
        <f t="shared" si="61"/>
        <v>0</v>
      </c>
      <c r="G345" s="490">
        <f t="shared" si="61"/>
        <v>1645</v>
      </c>
      <c r="J345" s="490">
        <f t="shared" si="62"/>
        <v>0</v>
      </c>
      <c r="K345" s="679">
        <f t="shared" si="62"/>
        <v>68.55</v>
      </c>
      <c r="O345" s="500">
        <f t="shared" si="63"/>
        <v>1012490</v>
      </c>
      <c r="Q345" s="554">
        <f t="shared" si="64"/>
        <v>2083884.27</v>
      </c>
      <c r="R345" s="692">
        <f t="shared" si="64"/>
        <v>2083885</v>
      </c>
      <c r="S345" s="500">
        <f t="shared" si="64"/>
        <v>2083885</v>
      </c>
    </row>
    <row r="346" spans="1:19" ht="18" customHeight="1" x14ac:dyDescent="0.25">
      <c r="A346" s="681" t="s">
        <v>7</v>
      </c>
      <c r="C346" s="417" t="s">
        <v>270</v>
      </c>
      <c r="D346" s="490">
        <f t="shared" si="61"/>
        <v>31413</v>
      </c>
      <c r="E346" s="490">
        <f t="shared" si="61"/>
        <v>998</v>
      </c>
      <c r="F346" s="490">
        <f t="shared" si="61"/>
        <v>91</v>
      </c>
      <c r="G346" s="490">
        <f t="shared" si="61"/>
        <v>27259</v>
      </c>
      <c r="J346" s="490">
        <f t="shared" si="62"/>
        <v>2478</v>
      </c>
      <c r="K346" s="679">
        <f t="shared" si="62"/>
        <v>3409.5700000000006</v>
      </c>
      <c r="O346" s="500">
        <f t="shared" si="63"/>
        <v>8522585</v>
      </c>
      <c r="Q346" s="554">
        <f t="shared" si="64"/>
        <v>91638770.519999996</v>
      </c>
      <c r="R346" s="692">
        <f t="shared" si="64"/>
        <v>91638771</v>
      </c>
      <c r="S346" s="500">
        <f t="shared" si="64"/>
        <v>91638771</v>
      </c>
    </row>
    <row r="347" spans="1:19" ht="18" customHeight="1" x14ac:dyDescent="0.25">
      <c r="A347" s="681" t="s">
        <v>24</v>
      </c>
      <c r="C347" s="417" t="s">
        <v>274</v>
      </c>
      <c r="D347" s="490">
        <f t="shared" si="61"/>
        <v>0</v>
      </c>
      <c r="E347" s="490">
        <f t="shared" si="61"/>
        <v>945</v>
      </c>
      <c r="F347" s="490">
        <f t="shared" si="61"/>
        <v>0</v>
      </c>
      <c r="G347" s="490">
        <f t="shared" si="61"/>
        <v>45275</v>
      </c>
      <c r="J347" s="490">
        <f t="shared" si="62"/>
        <v>2019</v>
      </c>
      <c r="K347" s="679">
        <f t="shared" si="62"/>
        <v>2943.62</v>
      </c>
      <c r="O347" s="500">
        <f t="shared" si="63"/>
        <v>0</v>
      </c>
      <c r="Q347" s="554">
        <f t="shared" si="64"/>
        <v>67899876.539999992</v>
      </c>
      <c r="R347" s="692">
        <f t="shared" si="64"/>
        <v>67899876</v>
      </c>
      <c r="S347" s="500">
        <f t="shared" si="64"/>
        <v>67899876</v>
      </c>
    </row>
    <row r="348" spans="1:19" ht="18" customHeight="1" x14ac:dyDescent="0.25">
      <c r="A348" s="693" t="s">
        <v>1</v>
      </c>
      <c r="C348" s="417" t="s">
        <v>302</v>
      </c>
      <c r="D348" s="490">
        <f t="shared" si="61"/>
        <v>55268</v>
      </c>
      <c r="E348" s="490">
        <f t="shared" si="61"/>
        <v>737</v>
      </c>
      <c r="F348" s="490">
        <f t="shared" si="61"/>
        <v>0</v>
      </c>
      <c r="G348" s="490">
        <f t="shared" si="61"/>
        <v>76569</v>
      </c>
      <c r="J348" s="490">
        <f t="shared" si="62"/>
        <v>6816</v>
      </c>
      <c r="K348" s="679">
        <f t="shared" si="62"/>
        <v>6148.32</v>
      </c>
      <c r="O348" s="500">
        <f t="shared" si="63"/>
        <v>6449028</v>
      </c>
      <c r="Q348" s="554">
        <f t="shared" si="64"/>
        <v>102108874.15000001</v>
      </c>
      <c r="R348" s="500">
        <f t="shared" si="64"/>
        <v>102108873</v>
      </c>
      <c r="S348" s="500">
        <f t="shared" si="64"/>
        <v>102108873</v>
      </c>
    </row>
    <row r="349" spans="1:19" ht="18" customHeight="1" x14ac:dyDescent="0.25">
      <c r="A349" s="693" t="s">
        <v>53</v>
      </c>
      <c r="C349" s="417" t="s">
        <v>309</v>
      </c>
      <c r="D349" s="490">
        <f t="shared" si="61"/>
        <v>11061</v>
      </c>
      <c r="E349" s="490">
        <f t="shared" si="61"/>
        <v>425</v>
      </c>
      <c r="F349" s="490">
        <f t="shared" si="61"/>
        <v>0</v>
      </c>
      <c r="G349" s="490">
        <f t="shared" si="61"/>
        <v>1116</v>
      </c>
      <c r="J349" s="490">
        <f t="shared" si="62"/>
        <v>0</v>
      </c>
      <c r="K349" s="679">
        <f t="shared" si="62"/>
        <v>840.20999999999992</v>
      </c>
      <c r="O349" s="500">
        <f t="shared" si="63"/>
        <v>0</v>
      </c>
      <c r="Q349" s="554">
        <f t="shared" si="64"/>
        <v>23932814.009999998</v>
      </c>
      <c r="R349" s="500">
        <f t="shared" si="64"/>
        <v>23932814</v>
      </c>
      <c r="S349" s="500">
        <f t="shared" si="64"/>
        <v>23932814</v>
      </c>
    </row>
    <row r="350" spans="1:19" ht="18" customHeight="1" x14ac:dyDescent="0.25">
      <c r="A350" s="693" t="s">
        <v>65</v>
      </c>
      <c r="C350" s="417" t="s">
        <v>319</v>
      </c>
      <c r="D350" s="490">
        <f t="shared" si="61"/>
        <v>0</v>
      </c>
      <c r="E350" s="490">
        <f t="shared" si="61"/>
        <v>194</v>
      </c>
      <c r="F350" s="490">
        <f t="shared" si="61"/>
        <v>0</v>
      </c>
      <c r="G350" s="490">
        <f t="shared" si="61"/>
        <v>0</v>
      </c>
      <c r="J350" s="490">
        <f t="shared" si="62"/>
        <v>0</v>
      </c>
      <c r="K350" s="679">
        <f t="shared" si="62"/>
        <v>194</v>
      </c>
      <c r="O350" s="500">
        <f t="shared" si="63"/>
        <v>0</v>
      </c>
      <c r="Q350" s="554">
        <f t="shared" si="64"/>
        <v>8871962.7300000004</v>
      </c>
      <c r="R350" s="500">
        <f t="shared" si="64"/>
        <v>8871963</v>
      </c>
      <c r="S350" s="500">
        <f t="shared" si="64"/>
        <v>8871963</v>
      </c>
    </row>
    <row r="351" spans="1:19" ht="18" customHeight="1" x14ac:dyDescent="0.25">
      <c r="A351" s="693" t="s">
        <v>64</v>
      </c>
      <c r="C351" s="417" t="s">
        <v>328</v>
      </c>
      <c r="D351" s="490">
        <f t="shared" si="61"/>
        <v>0</v>
      </c>
      <c r="E351" s="490">
        <f t="shared" si="61"/>
        <v>221</v>
      </c>
      <c r="F351" s="490">
        <f t="shared" si="61"/>
        <v>0</v>
      </c>
      <c r="G351" s="490">
        <f t="shared" si="61"/>
        <v>0</v>
      </c>
      <c r="J351" s="490">
        <f t="shared" si="62"/>
        <v>0</v>
      </c>
      <c r="K351" s="679">
        <f t="shared" si="62"/>
        <v>221</v>
      </c>
      <c r="O351" s="500">
        <f t="shared" si="63"/>
        <v>0</v>
      </c>
      <c r="Q351" s="554">
        <f t="shared" si="64"/>
        <v>10106720.43</v>
      </c>
      <c r="R351" s="500">
        <f t="shared" si="64"/>
        <v>10106720</v>
      </c>
      <c r="S351" s="500">
        <f t="shared" si="64"/>
        <v>10106720</v>
      </c>
    </row>
    <row r="352" spans="1:19" ht="18" customHeight="1" x14ac:dyDescent="0.25">
      <c r="A352" s="693" t="s">
        <v>745</v>
      </c>
      <c r="C352" s="417" t="s">
        <v>331</v>
      </c>
      <c r="D352" s="490">
        <f t="shared" si="61"/>
        <v>0</v>
      </c>
      <c r="E352" s="490">
        <f t="shared" si="61"/>
        <v>30</v>
      </c>
      <c r="F352" s="490">
        <f t="shared" si="61"/>
        <v>0</v>
      </c>
      <c r="G352" s="490">
        <f t="shared" si="61"/>
        <v>0</v>
      </c>
      <c r="J352" s="490">
        <f t="shared" si="62"/>
        <v>0</v>
      </c>
      <c r="K352" s="679">
        <f t="shared" si="62"/>
        <v>30</v>
      </c>
      <c r="O352" s="500">
        <f t="shared" si="63"/>
        <v>0</v>
      </c>
      <c r="Q352" s="554">
        <f t="shared" si="64"/>
        <v>1371953</v>
      </c>
      <c r="R352" s="500">
        <f t="shared" si="64"/>
        <v>1371953</v>
      </c>
      <c r="S352" s="500">
        <f t="shared" si="64"/>
        <v>1371953</v>
      </c>
    </row>
    <row r="353" spans="1:19" ht="18" customHeight="1" x14ac:dyDescent="0.25">
      <c r="A353" s="694"/>
      <c r="B353" s="625"/>
      <c r="C353" s="625"/>
      <c r="D353" s="490"/>
      <c r="E353" s="617"/>
      <c r="F353" s="617"/>
      <c r="G353" s="490"/>
      <c r="H353" s="625"/>
      <c r="I353" s="625"/>
      <c r="J353" s="490"/>
      <c r="K353" s="695"/>
      <c r="O353" s="622"/>
      <c r="Q353" s="696"/>
      <c r="R353" s="697"/>
      <c r="S353" s="622"/>
    </row>
    <row r="354" spans="1:19" ht="18" customHeight="1" x14ac:dyDescent="0.25">
      <c r="A354" s="684" t="s">
        <v>342</v>
      </c>
      <c r="B354" s="529"/>
      <c r="C354" s="529"/>
      <c r="D354" s="686">
        <f>SUM(D340:D353)</f>
        <v>191127</v>
      </c>
      <c r="E354" s="686">
        <f>SUM(E340:E353)</f>
        <v>8065</v>
      </c>
      <c r="F354" s="686">
        <f>SUM(F340:F353)</f>
        <v>287</v>
      </c>
      <c r="G354" s="686">
        <f>SUM(G340:G353)</f>
        <v>264667</v>
      </c>
      <c r="H354" s="684"/>
      <c r="I354" s="684"/>
      <c r="J354" s="686">
        <f>SUM(J340:J353)</f>
        <v>68047</v>
      </c>
      <c r="K354" s="685">
        <f>SUM(K340:K353)</f>
        <v>29531.109999999997</v>
      </c>
      <c r="O354" s="698">
        <f>SUM(O340:O353)</f>
        <v>19882230</v>
      </c>
      <c r="Q354" s="699">
        <f>SUM(Q340:Q353)</f>
        <v>647430282.59999979</v>
      </c>
      <c r="R354" s="700">
        <f>SUM(R340:R353)</f>
        <v>647430283</v>
      </c>
      <c r="S354" s="698">
        <f>SUM(S340:S353)</f>
        <v>647430283</v>
      </c>
    </row>
    <row r="355" spans="1:19" ht="18" customHeight="1" x14ac:dyDescent="0.25">
      <c r="A355" s="417">
        <f>COUNTA(A340:A353)</f>
        <v>13</v>
      </c>
      <c r="D355" s="490"/>
      <c r="E355" s="490"/>
      <c r="F355" s="490"/>
      <c r="G355" s="490"/>
      <c r="J355" s="490"/>
      <c r="S355" s="476">
        <f>R354+S354</f>
        <v>1294860566</v>
      </c>
    </row>
    <row r="356" spans="1:19" ht="18" customHeight="1" x14ac:dyDescent="0.25">
      <c r="D356" s="490">
        <f>D354-D308</f>
        <v>0</v>
      </c>
      <c r="E356" s="490">
        <f>E354-E311</f>
        <v>8065</v>
      </c>
      <c r="F356" s="490">
        <f>F354-F311</f>
        <v>287</v>
      </c>
      <c r="G356" s="490">
        <f>G354-G308</f>
        <v>0</v>
      </c>
      <c r="H356" s="437"/>
      <c r="I356" s="437"/>
      <c r="J356" s="490">
        <f>J354-J308</f>
        <v>0</v>
      </c>
      <c r="K356" s="437">
        <f>K354-K308</f>
        <v>0</v>
      </c>
      <c r="R356" s="417" t="s">
        <v>340</v>
      </c>
      <c r="S356" s="495">
        <f>S310-S355</f>
        <v>0</v>
      </c>
    </row>
    <row r="357" spans="1:19" ht="18" customHeight="1" x14ac:dyDescent="0.25">
      <c r="E357" s="490"/>
      <c r="F357" s="490"/>
    </row>
    <row r="358" spans="1:19" ht="18" customHeight="1" x14ac:dyDescent="0.25">
      <c r="E358" s="490"/>
      <c r="F358" s="490"/>
    </row>
    <row r="359" spans="1:19" ht="18" customHeight="1" x14ac:dyDescent="0.25">
      <c r="E359" s="490"/>
      <c r="F359" s="490"/>
    </row>
    <row r="360" spans="1:19" ht="18" customHeight="1" x14ac:dyDescent="0.25">
      <c r="A360" s="690" t="s">
        <v>343</v>
      </c>
      <c r="E360" s="490"/>
      <c r="F360" s="490"/>
    </row>
    <row r="361" spans="1:19" ht="18" customHeight="1" x14ac:dyDescent="0.25">
      <c r="E361" s="490"/>
      <c r="F361" s="490"/>
      <c r="M361" s="423" t="s">
        <v>344</v>
      </c>
    </row>
    <row r="362" spans="1:19" ht="18" customHeight="1" x14ac:dyDescent="0.25">
      <c r="A362" s="681" t="s">
        <v>8</v>
      </c>
      <c r="C362" s="417" t="s">
        <v>176</v>
      </c>
      <c r="D362" s="437">
        <f t="shared" ref="D362:D374" si="65">(SUMIF($C$9:$C$307,$C362,D$9:D$307)/D$5)</f>
        <v>0</v>
      </c>
      <c r="E362" s="490">
        <f t="shared" ref="E362:F374" si="66">SUMIF($C$9:$C$307,$C362,E$9:E$307)</f>
        <v>892</v>
      </c>
      <c r="F362" s="490">
        <f t="shared" si="66"/>
        <v>0</v>
      </c>
      <c r="G362" s="437">
        <f t="shared" ref="G362:G374" si="67">(SUMIF($C$9:$C$307,$C362,G$9:G$307)/G$5)</f>
        <v>712.33333333333337</v>
      </c>
      <c r="J362" s="437">
        <f t="shared" ref="J362:J374" si="68">(SUMIF($C$9:$C$307,$C362,J$9:J$307)/J$5)</f>
        <v>629.11111111111109</v>
      </c>
      <c r="K362" s="679">
        <f t="shared" ref="K362:K374" si="69">SUMIF($C$9:$C$307,$C362,K$9:K$307)</f>
        <v>2233.4499999999998</v>
      </c>
      <c r="M362" s="417">
        <v>2219</v>
      </c>
      <c r="O362" s="701">
        <f>K362-M362</f>
        <v>14.449999999999818</v>
      </c>
      <c r="R362" s="495">
        <f t="shared" ref="R362:S374" si="70">SUMIF($C$7:$C$307,$C362,R$7:R$307)</f>
        <v>53839116</v>
      </c>
      <c r="S362" s="495">
        <f t="shared" si="70"/>
        <v>53839116</v>
      </c>
    </row>
    <row r="363" spans="1:19" ht="18" customHeight="1" x14ac:dyDescent="0.25">
      <c r="A363" s="681" t="s">
        <v>3</v>
      </c>
      <c r="C363" s="417" t="s">
        <v>190</v>
      </c>
      <c r="D363" s="437">
        <f t="shared" si="65"/>
        <v>896.33333333333337</v>
      </c>
      <c r="E363" s="490">
        <f t="shared" si="66"/>
        <v>955</v>
      </c>
      <c r="F363" s="490">
        <f t="shared" si="66"/>
        <v>0</v>
      </c>
      <c r="G363" s="437">
        <f t="shared" si="67"/>
        <v>1410.5833333333333</v>
      </c>
      <c r="J363" s="437">
        <f t="shared" si="68"/>
        <v>605.22222222222217</v>
      </c>
      <c r="K363" s="679">
        <f t="shared" si="69"/>
        <v>3867.1500000000005</v>
      </c>
      <c r="M363" s="417">
        <v>3757.3399999999997</v>
      </c>
      <c r="O363" s="701">
        <f t="shared" ref="O363:O374" si="71">K363-M363</f>
        <v>109.81000000000085</v>
      </c>
      <c r="R363" s="500">
        <f t="shared" si="70"/>
        <v>73752006</v>
      </c>
      <c r="S363" s="500">
        <f t="shared" si="70"/>
        <v>73752006</v>
      </c>
    </row>
    <row r="364" spans="1:19" ht="18" customHeight="1" x14ac:dyDescent="0.25">
      <c r="A364" s="681" t="s">
        <v>4</v>
      </c>
      <c r="C364" s="417" t="s">
        <v>213</v>
      </c>
      <c r="D364" s="437">
        <f t="shared" si="65"/>
        <v>906.5333333333333</v>
      </c>
      <c r="E364" s="490">
        <f t="shared" si="66"/>
        <v>1397</v>
      </c>
      <c r="F364" s="490">
        <f t="shared" si="66"/>
        <v>89</v>
      </c>
      <c r="G364" s="437">
        <f t="shared" si="67"/>
        <v>1659.4583333333333</v>
      </c>
      <c r="J364" s="437">
        <f t="shared" si="68"/>
        <v>1171.1111111111111</v>
      </c>
      <c r="K364" s="679">
        <f t="shared" si="69"/>
        <v>5223.0899999999992</v>
      </c>
      <c r="M364" s="417">
        <v>4949.22</v>
      </c>
      <c r="O364" s="701">
        <f t="shared" si="71"/>
        <v>273.86999999999898</v>
      </c>
      <c r="R364" s="500">
        <f t="shared" si="70"/>
        <v>119240913</v>
      </c>
      <c r="S364" s="500">
        <f t="shared" si="70"/>
        <v>119240913</v>
      </c>
    </row>
    <row r="365" spans="1:19" ht="18" customHeight="1" x14ac:dyDescent="0.25">
      <c r="A365" s="681" t="s">
        <v>6</v>
      </c>
      <c r="C365" s="417" t="s">
        <v>229</v>
      </c>
      <c r="D365" s="437">
        <f t="shared" si="65"/>
        <v>947.76666666666665</v>
      </c>
      <c r="E365" s="490">
        <f t="shared" si="66"/>
        <v>1271</v>
      </c>
      <c r="F365" s="490">
        <f t="shared" si="66"/>
        <v>107</v>
      </c>
      <c r="G365" s="437">
        <f t="shared" si="67"/>
        <v>887.5</v>
      </c>
      <c r="J365" s="437">
        <f t="shared" si="68"/>
        <v>746.44444444444446</v>
      </c>
      <c r="K365" s="679">
        <f t="shared" si="69"/>
        <v>3959.7</v>
      </c>
      <c r="M365" s="417">
        <v>3914.72</v>
      </c>
      <c r="O365" s="701">
        <f t="shared" si="71"/>
        <v>44.980000000000018</v>
      </c>
      <c r="R365" s="500">
        <f t="shared" si="70"/>
        <v>88807371</v>
      </c>
      <c r="S365" s="500">
        <f t="shared" si="70"/>
        <v>88807371</v>
      </c>
    </row>
    <row r="366" spans="1:19" ht="18" customHeight="1" x14ac:dyDescent="0.25">
      <c r="A366" s="681" t="s">
        <v>2</v>
      </c>
      <c r="C366" s="417" t="s">
        <v>232</v>
      </c>
      <c r="D366" s="437">
        <f t="shared" si="65"/>
        <v>362.2</v>
      </c>
      <c r="E366" s="490">
        <f t="shared" si="66"/>
        <v>0</v>
      </c>
      <c r="F366" s="490">
        <f t="shared" si="66"/>
        <v>0</v>
      </c>
      <c r="G366" s="437">
        <f t="shared" si="67"/>
        <v>30.25</v>
      </c>
      <c r="J366" s="437">
        <f t="shared" si="68"/>
        <v>0</v>
      </c>
      <c r="K366" s="679">
        <f t="shared" si="69"/>
        <v>392.45</v>
      </c>
      <c r="M366" s="417">
        <v>405.26</v>
      </c>
      <c r="O366" s="701">
        <f t="shared" si="71"/>
        <v>-12.810000000000002</v>
      </c>
      <c r="R366" s="500">
        <f t="shared" si="70"/>
        <v>3776022</v>
      </c>
      <c r="S366" s="500">
        <f t="shared" si="70"/>
        <v>3776022</v>
      </c>
    </row>
    <row r="367" spans="1:19" ht="18" customHeight="1" x14ac:dyDescent="0.25">
      <c r="A367" s="681" t="s">
        <v>5</v>
      </c>
      <c r="C367" s="417" t="s">
        <v>236</v>
      </c>
      <c r="D367" s="437">
        <f t="shared" si="65"/>
        <v>0</v>
      </c>
      <c r="E367" s="490">
        <f t="shared" si="66"/>
        <v>0</v>
      </c>
      <c r="F367" s="490">
        <f t="shared" si="66"/>
        <v>0</v>
      </c>
      <c r="G367" s="437">
        <f t="shared" si="67"/>
        <v>68.541666666666671</v>
      </c>
      <c r="J367" s="437">
        <f t="shared" si="68"/>
        <v>0</v>
      </c>
      <c r="K367" s="679">
        <f t="shared" si="69"/>
        <v>68.55</v>
      </c>
      <c r="M367" s="417">
        <v>34.54</v>
      </c>
      <c r="O367" s="701">
        <f t="shared" si="71"/>
        <v>34.01</v>
      </c>
      <c r="R367" s="500">
        <f t="shared" si="70"/>
        <v>2083885</v>
      </c>
      <c r="S367" s="500">
        <f t="shared" si="70"/>
        <v>2083885</v>
      </c>
    </row>
    <row r="368" spans="1:19" ht="18" customHeight="1" x14ac:dyDescent="0.25">
      <c r="A368" s="681" t="s">
        <v>7</v>
      </c>
      <c r="C368" s="417" t="s">
        <v>270</v>
      </c>
      <c r="D368" s="437">
        <f t="shared" si="65"/>
        <v>1047.0999999999999</v>
      </c>
      <c r="E368" s="490">
        <f t="shared" si="66"/>
        <v>998</v>
      </c>
      <c r="F368" s="490">
        <f t="shared" si="66"/>
        <v>91</v>
      </c>
      <c r="G368" s="437">
        <f t="shared" si="67"/>
        <v>1135.7916666666667</v>
      </c>
      <c r="J368" s="437">
        <f t="shared" si="68"/>
        <v>137.66666666666666</v>
      </c>
      <c r="K368" s="679">
        <f t="shared" si="69"/>
        <v>3409.5700000000006</v>
      </c>
      <c r="M368" s="417">
        <v>3185.04</v>
      </c>
      <c r="O368" s="701">
        <f t="shared" si="71"/>
        <v>224.53000000000065</v>
      </c>
      <c r="R368" s="500">
        <f t="shared" si="70"/>
        <v>91638771</v>
      </c>
      <c r="S368" s="500">
        <f t="shared" si="70"/>
        <v>91638771</v>
      </c>
    </row>
    <row r="369" spans="1:19" ht="18" customHeight="1" x14ac:dyDescent="0.25">
      <c r="A369" s="681" t="s">
        <v>24</v>
      </c>
      <c r="C369" s="417" t="s">
        <v>274</v>
      </c>
      <c r="D369" s="437">
        <f t="shared" si="65"/>
        <v>0</v>
      </c>
      <c r="E369" s="490">
        <f t="shared" si="66"/>
        <v>945</v>
      </c>
      <c r="F369" s="490">
        <f t="shared" si="66"/>
        <v>0</v>
      </c>
      <c r="G369" s="437">
        <f t="shared" si="67"/>
        <v>1886.4583333333333</v>
      </c>
      <c r="J369" s="437">
        <f t="shared" si="68"/>
        <v>112.16666666666667</v>
      </c>
      <c r="K369" s="679">
        <f t="shared" si="69"/>
        <v>2943.62</v>
      </c>
      <c r="M369" s="417">
        <v>2858.8</v>
      </c>
      <c r="O369" s="701">
        <f t="shared" si="71"/>
        <v>84.819999999999709</v>
      </c>
      <c r="R369" s="500">
        <f t="shared" si="70"/>
        <v>67899876</v>
      </c>
      <c r="S369" s="500">
        <f t="shared" si="70"/>
        <v>67899876</v>
      </c>
    </row>
    <row r="370" spans="1:19" ht="18" customHeight="1" x14ac:dyDescent="0.25">
      <c r="A370" s="693" t="s">
        <v>1</v>
      </c>
      <c r="C370" s="417" t="s">
        <v>302</v>
      </c>
      <c r="D370" s="437">
        <f t="shared" si="65"/>
        <v>1842.2666666666667</v>
      </c>
      <c r="E370" s="490">
        <f t="shared" si="66"/>
        <v>737</v>
      </c>
      <c r="F370" s="490">
        <f t="shared" si="66"/>
        <v>0</v>
      </c>
      <c r="G370" s="437">
        <f t="shared" si="67"/>
        <v>3190.375</v>
      </c>
      <c r="J370" s="437">
        <f t="shared" si="68"/>
        <v>378.66666666666669</v>
      </c>
      <c r="K370" s="679">
        <f t="shared" si="69"/>
        <v>6148.32</v>
      </c>
      <c r="M370" s="417">
        <v>5961.0300000000007</v>
      </c>
      <c r="O370" s="701">
        <f t="shared" si="71"/>
        <v>187.28999999999905</v>
      </c>
      <c r="R370" s="500">
        <f t="shared" si="70"/>
        <v>102108873</v>
      </c>
      <c r="S370" s="500">
        <f t="shared" si="70"/>
        <v>102108873</v>
      </c>
    </row>
    <row r="371" spans="1:19" ht="18" customHeight="1" x14ac:dyDescent="0.25">
      <c r="A371" s="693" t="s">
        <v>53</v>
      </c>
      <c r="C371" s="417" t="s">
        <v>309</v>
      </c>
      <c r="D371" s="437">
        <f t="shared" si="65"/>
        <v>368.7</v>
      </c>
      <c r="E371" s="490">
        <f t="shared" si="66"/>
        <v>425</v>
      </c>
      <c r="F371" s="490">
        <f t="shared" si="66"/>
        <v>0</v>
      </c>
      <c r="G371" s="437">
        <f t="shared" si="67"/>
        <v>46.5</v>
      </c>
      <c r="J371" s="437">
        <f t="shared" si="68"/>
        <v>0</v>
      </c>
      <c r="K371" s="679">
        <f t="shared" si="69"/>
        <v>840.20999999999992</v>
      </c>
      <c r="M371" s="417">
        <v>777.89</v>
      </c>
      <c r="O371" s="701">
        <f t="shared" si="71"/>
        <v>62.319999999999936</v>
      </c>
      <c r="R371" s="500">
        <f t="shared" si="70"/>
        <v>23932814</v>
      </c>
      <c r="S371" s="500">
        <f t="shared" si="70"/>
        <v>23932814</v>
      </c>
    </row>
    <row r="372" spans="1:19" ht="18" customHeight="1" x14ac:dyDescent="0.25">
      <c r="A372" s="693" t="s">
        <v>345</v>
      </c>
      <c r="C372" s="417" t="s">
        <v>319</v>
      </c>
      <c r="D372" s="437">
        <f t="shared" si="65"/>
        <v>0</v>
      </c>
      <c r="E372" s="490">
        <f t="shared" si="66"/>
        <v>194</v>
      </c>
      <c r="F372" s="490">
        <f t="shared" si="66"/>
        <v>0</v>
      </c>
      <c r="G372" s="437">
        <f t="shared" si="67"/>
        <v>0</v>
      </c>
      <c r="J372" s="437">
        <f t="shared" si="68"/>
        <v>0</v>
      </c>
      <c r="K372" s="679">
        <f t="shared" si="69"/>
        <v>194</v>
      </c>
      <c r="M372" s="417">
        <v>155</v>
      </c>
      <c r="O372" s="701">
        <f t="shared" si="71"/>
        <v>39</v>
      </c>
      <c r="R372" s="500">
        <f t="shared" si="70"/>
        <v>8871963</v>
      </c>
      <c r="S372" s="500">
        <f t="shared" si="70"/>
        <v>8871963</v>
      </c>
    </row>
    <row r="373" spans="1:19" ht="18" customHeight="1" x14ac:dyDescent="0.25">
      <c r="A373" s="693" t="s">
        <v>64</v>
      </c>
      <c r="C373" s="417" t="s">
        <v>328</v>
      </c>
      <c r="D373" s="437">
        <f t="shared" si="65"/>
        <v>0</v>
      </c>
      <c r="E373" s="490">
        <f t="shared" si="66"/>
        <v>221</v>
      </c>
      <c r="F373" s="490">
        <f t="shared" si="66"/>
        <v>0</v>
      </c>
      <c r="G373" s="437">
        <f t="shared" si="67"/>
        <v>0</v>
      </c>
      <c r="J373" s="437">
        <f t="shared" si="68"/>
        <v>0</v>
      </c>
      <c r="K373" s="679">
        <f t="shared" si="69"/>
        <v>221</v>
      </c>
      <c r="M373" s="417">
        <v>148</v>
      </c>
      <c r="O373" s="701">
        <f t="shared" si="71"/>
        <v>73</v>
      </c>
      <c r="R373" s="500">
        <f t="shared" si="70"/>
        <v>10106720</v>
      </c>
      <c r="S373" s="500">
        <f t="shared" si="70"/>
        <v>10106720</v>
      </c>
    </row>
    <row r="374" spans="1:19" ht="18" customHeight="1" x14ac:dyDescent="0.25">
      <c r="A374" s="693" t="s">
        <v>745</v>
      </c>
      <c r="C374" s="417" t="s">
        <v>331</v>
      </c>
      <c r="D374" s="437">
        <f t="shared" si="65"/>
        <v>0</v>
      </c>
      <c r="E374" s="490">
        <f t="shared" si="66"/>
        <v>30</v>
      </c>
      <c r="F374" s="490">
        <f t="shared" si="66"/>
        <v>0</v>
      </c>
      <c r="G374" s="437">
        <f t="shared" si="67"/>
        <v>0</v>
      </c>
      <c r="J374" s="437">
        <f t="shared" si="68"/>
        <v>0</v>
      </c>
      <c r="K374" s="679">
        <f t="shared" si="69"/>
        <v>30</v>
      </c>
      <c r="M374" s="417">
        <v>0</v>
      </c>
      <c r="O374" s="701">
        <f t="shared" si="71"/>
        <v>30</v>
      </c>
      <c r="R374" s="500">
        <f t="shared" si="70"/>
        <v>1371953</v>
      </c>
      <c r="S374" s="500">
        <f t="shared" si="70"/>
        <v>1371953</v>
      </c>
    </row>
    <row r="375" spans="1:19" ht="18" customHeight="1" x14ac:dyDescent="0.25">
      <c r="A375" s="694"/>
      <c r="B375" s="625"/>
      <c r="C375" s="625"/>
      <c r="D375" s="619"/>
      <c r="E375" s="617"/>
      <c r="F375" s="617"/>
      <c r="G375" s="619"/>
      <c r="H375" s="625"/>
      <c r="I375" s="625"/>
      <c r="J375" s="619"/>
      <c r="K375" s="695"/>
      <c r="O375" s="701"/>
      <c r="R375" s="622"/>
      <c r="S375" s="622"/>
    </row>
    <row r="376" spans="1:19" ht="18" customHeight="1" x14ac:dyDescent="0.25">
      <c r="A376" s="684" t="s">
        <v>342</v>
      </c>
      <c r="B376" s="529"/>
      <c r="C376" s="529"/>
      <c r="D376" s="685">
        <f>SUM(D362:D375)</f>
        <v>6370.8999999999987</v>
      </c>
      <c r="E376" s="686">
        <f>SUM(E362:E375)</f>
        <v>8065</v>
      </c>
      <c r="F376" s="686">
        <f>SUM(F362:F375)</f>
        <v>287</v>
      </c>
      <c r="G376" s="685">
        <f>SUM(G362:G375)</f>
        <v>11027.791666666668</v>
      </c>
      <c r="H376" s="684"/>
      <c r="I376" s="684"/>
      <c r="J376" s="685">
        <f>SUM(J362:J375)</f>
        <v>3780.3888888888882</v>
      </c>
      <c r="K376" s="685">
        <f>SUM(K362:K375)</f>
        <v>29531.109999999997</v>
      </c>
      <c r="M376" s="685">
        <f>SUM(M362:M375)</f>
        <v>28365.840000000004</v>
      </c>
      <c r="O376" s="685">
        <f>SUM(O362:O375)</f>
        <v>1165.2699999999991</v>
      </c>
      <c r="R376" s="698">
        <f>SUM(R362:R375)</f>
        <v>647430283</v>
      </c>
      <c r="S376" s="698">
        <f>SUM(S362:S375)</f>
        <v>647430283</v>
      </c>
    </row>
    <row r="377" spans="1:19" ht="18" customHeight="1" x14ac:dyDescent="0.25">
      <c r="A377" s="417">
        <f>COUNTA(A362:A375)</f>
        <v>13</v>
      </c>
      <c r="E377" s="490"/>
      <c r="F377" s="490"/>
      <c r="J377" s="417" t="s">
        <v>339</v>
      </c>
      <c r="K377" s="437">
        <f>SUM(D376:J376)</f>
        <v>29531.080555555553</v>
      </c>
      <c r="S377" s="476">
        <f>R376+S376</f>
        <v>1294860566</v>
      </c>
    </row>
    <row r="378" spans="1:19" ht="18" customHeight="1" x14ac:dyDescent="0.25">
      <c r="R378" s="417" t="s">
        <v>340</v>
      </c>
      <c r="S378" s="495">
        <f>S310-S377</f>
        <v>0</v>
      </c>
    </row>
    <row r="379" spans="1:19" ht="18" customHeight="1" x14ac:dyDescent="0.25">
      <c r="D379" s="437">
        <f>D376-D332</f>
        <v>0</v>
      </c>
      <c r="E379" s="490">
        <f t="shared" ref="E379:G379" si="72">E376-E332</f>
        <v>0</v>
      </c>
      <c r="F379" s="490">
        <f t="shared" si="72"/>
        <v>0</v>
      </c>
      <c r="G379" s="437">
        <f t="shared" si="72"/>
        <v>1.6666666670062114E-3</v>
      </c>
      <c r="H379" s="437"/>
      <c r="I379" s="437"/>
      <c r="J379" s="437">
        <f>J376-J332</f>
        <v>-1.1111111120953865E-3</v>
      </c>
      <c r="K379" s="437">
        <f>K376-K308</f>
        <v>0</v>
      </c>
    </row>
    <row r="380" spans="1:19" ht="18" customHeight="1" x14ac:dyDescent="0.25"/>
    <row r="381" spans="1:19" ht="18" customHeight="1" x14ac:dyDescent="0.25">
      <c r="K381" s="437">
        <f>SUM(K362:K371)</f>
        <v>29086.109999999997</v>
      </c>
      <c r="M381" s="423"/>
      <c r="Q381" s="423"/>
      <c r="R381" s="702" t="s">
        <v>70</v>
      </c>
    </row>
    <row r="382" spans="1:19" ht="18" customHeight="1" x14ac:dyDescent="0.25">
      <c r="A382" s="690" t="s">
        <v>346</v>
      </c>
      <c r="K382" s="437">
        <f>K373+K372</f>
        <v>415</v>
      </c>
      <c r="M382" s="423" t="s">
        <v>347</v>
      </c>
      <c r="O382" s="423" t="s">
        <v>340</v>
      </c>
      <c r="Q382" s="703" t="s">
        <v>348</v>
      </c>
      <c r="R382" s="704" t="s">
        <v>154</v>
      </c>
      <c r="S382" s="705" t="s">
        <v>349</v>
      </c>
    </row>
    <row r="383" spans="1:19" ht="18" customHeight="1" x14ac:dyDescent="0.25">
      <c r="K383" s="437">
        <f>SUM(K381:K382)</f>
        <v>29501.109999999997</v>
      </c>
      <c r="Q383" s="423" t="s">
        <v>350</v>
      </c>
      <c r="R383" s="452" t="s">
        <v>338</v>
      </c>
      <c r="S383" s="706"/>
    </row>
    <row r="384" spans="1:19" ht="18" customHeight="1" x14ac:dyDescent="0.25">
      <c r="A384" s="681" t="s">
        <v>8</v>
      </c>
      <c r="E384" s="707"/>
      <c r="M384" s="708"/>
      <c r="O384" s="495">
        <f t="shared" ref="O384:O396" si="73">R384-M384</f>
        <v>107678232</v>
      </c>
      <c r="Q384" s="709">
        <v>108331850</v>
      </c>
      <c r="R384" s="710">
        <f t="shared" ref="R384:R396" si="74">R362+S362</f>
        <v>107678232</v>
      </c>
      <c r="S384" s="711">
        <f t="shared" ref="S384:S396" si="75">R384-Q384</f>
        <v>-653618</v>
      </c>
    </row>
    <row r="385" spans="1:19" ht="18" customHeight="1" x14ac:dyDescent="0.25">
      <c r="A385" s="681" t="s">
        <v>3</v>
      </c>
      <c r="E385" s="707"/>
      <c r="M385" s="712"/>
      <c r="O385" s="500">
        <f t="shared" si="73"/>
        <v>147504012</v>
      </c>
      <c r="Q385" s="687">
        <v>145204926</v>
      </c>
      <c r="R385" s="713">
        <f t="shared" si="74"/>
        <v>147504012</v>
      </c>
      <c r="S385" s="714">
        <f t="shared" si="75"/>
        <v>2299086</v>
      </c>
    </row>
    <row r="386" spans="1:19" ht="18" customHeight="1" x14ac:dyDescent="0.25">
      <c r="A386" s="681" t="s">
        <v>4</v>
      </c>
      <c r="E386" s="715"/>
      <c r="M386" s="712"/>
      <c r="O386" s="500">
        <f t="shared" si="73"/>
        <v>238481826</v>
      </c>
      <c r="Q386" s="687">
        <v>229620122</v>
      </c>
      <c r="R386" s="713">
        <f t="shared" si="74"/>
        <v>238481826</v>
      </c>
      <c r="S386" s="714">
        <f t="shared" si="75"/>
        <v>8861704</v>
      </c>
    </row>
    <row r="387" spans="1:19" ht="18" customHeight="1" x14ac:dyDescent="0.25">
      <c r="A387" s="681" t="s">
        <v>6</v>
      </c>
      <c r="E387" s="715"/>
      <c r="M387" s="712"/>
      <c r="O387" s="500">
        <f t="shared" si="73"/>
        <v>177614742</v>
      </c>
      <c r="Q387" s="687">
        <v>176130036</v>
      </c>
      <c r="R387" s="713">
        <f t="shared" si="74"/>
        <v>177614742</v>
      </c>
      <c r="S387" s="714">
        <f t="shared" si="75"/>
        <v>1484706</v>
      </c>
    </row>
    <row r="388" spans="1:19" ht="18" customHeight="1" x14ac:dyDescent="0.25">
      <c r="A388" s="681" t="s">
        <v>2</v>
      </c>
      <c r="E388" s="707"/>
      <c r="M388" s="712"/>
      <c r="O388" s="500">
        <f t="shared" si="73"/>
        <v>7552044</v>
      </c>
      <c r="Q388" s="687">
        <v>7798550</v>
      </c>
      <c r="R388" s="713">
        <f t="shared" si="74"/>
        <v>7552044</v>
      </c>
      <c r="S388" s="714">
        <f t="shared" si="75"/>
        <v>-246506</v>
      </c>
    </row>
    <row r="389" spans="1:19" ht="18" customHeight="1" x14ac:dyDescent="0.25">
      <c r="A389" s="681" t="s">
        <v>5</v>
      </c>
      <c r="E389" s="707"/>
      <c r="M389" s="712"/>
      <c r="O389" s="500">
        <f t="shared" si="73"/>
        <v>4167770</v>
      </c>
      <c r="Q389" s="687">
        <v>2222624</v>
      </c>
      <c r="R389" s="713">
        <f t="shared" si="74"/>
        <v>4167770</v>
      </c>
      <c r="S389" s="714">
        <f t="shared" si="75"/>
        <v>1945146</v>
      </c>
    </row>
    <row r="390" spans="1:19" ht="18" customHeight="1" x14ac:dyDescent="0.25">
      <c r="A390" s="681" t="s">
        <v>7</v>
      </c>
      <c r="E390" s="707"/>
      <c r="M390" s="712"/>
      <c r="O390" s="500">
        <f t="shared" si="73"/>
        <v>183277542</v>
      </c>
      <c r="Q390" s="687">
        <v>182038950</v>
      </c>
      <c r="R390" s="713">
        <f t="shared" si="74"/>
        <v>183277542</v>
      </c>
      <c r="S390" s="714">
        <f t="shared" si="75"/>
        <v>1238592</v>
      </c>
    </row>
    <row r="391" spans="1:19" ht="18" customHeight="1" x14ac:dyDescent="0.25">
      <c r="A391" s="681" t="s">
        <v>24</v>
      </c>
      <c r="E391" s="707"/>
      <c r="M391" s="712"/>
      <c r="O391" s="500">
        <f t="shared" si="73"/>
        <v>135799752</v>
      </c>
      <c r="Q391" s="687">
        <v>133222786</v>
      </c>
      <c r="R391" s="713">
        <f t="shared" si="74"/>
        <v>135799752</v>
      </c>
      <c r="S391" s="714">
        <f t="shared" si="75"/>
        <v>2576966</v>
      </c>
    </row>
    <row r="392" spans="1:19" ht="18" customHeight="1" x14ac:dyDescent="0.25">
      <c r="A392" s="693" t="s">
        <v>1</v>
      </c>
      <c r="E392" s="707"/>
      <c r="M392" s="712"/>
      <c r="O392" s="500">
        <f t="shared" si="73"/>
        <v>204217746</v>
      </c>
      <c r="Q392" s="687">
        <v>201122344</v>
      </c>
      <c r="R392" s="713">
        <f t="shared" si="74"/>
        <v>204217746</v>
      </c>
      <c r="S392" s="714">
        <f t="shared" si="75"/>
        <v>3095402</v>
      </c>
    </row>
    <row r="393" spans="1:19" ht="18" customHeight="1" x14ac:dyDescent="0.25">
      <c r="A393" s="693" t="s">
        <v>53</v>
      </c>
      <c r="E393" s="707"/>
      <c r="M393" s="712"/>
      <c r="O393" s="500">
        <f t="shared" si="73"/>
        <v>47865628</v>
      </c>
      <c r="Q393" s="687">
        <v>45895012</v>
      </c>
      <c r="R393" s="713">
        <f t="shared" si="74"/>
        <v>47865628</v>
      </c>
      <c r="S393" s="714">
        <f t="shared" si="75"/>
        <v>1970616</v>
      </c>
    </row>
    <row r="394" spans="1:19" ht="18" customHeight="1" x14ac:dyDescent="0.25">
      <c r="A394" s="693" t="s">
        <v>65</v>
      </c>
      <c r="E394" s="707"/>
      <c r="M394" s="712"/>
      <c r="O394" s="500">
        <f t="shared" si="73"/>
        <v>17743926</v>
      </c>
      <c r="Q394" s="687">
        <v>14176848</v>
      </c>
      <c r="R394" s="713">
        <f t="shared" si="74"/>
        <v>17743926</v>
      </c>
      <c r="S394" s="714">
        <f t="shared" si="75"/>
        <v>3567078</v>
      </c>
    </row>
    <row r="395" spans="1:19" ht="18" customHeight="1" x14ac:dyDescent="0.25">
      <c r="A395" s="693" t="s">
        <v>64</v>
      </c>
      <c r="E395" s="707"/>
      <c r="M395" s="712"/>
      <c r="O395" s="500">
        <f t="shared" si="73"/>
        <v>20213440</v>
      </c>
      <c r="Q395" s="687">
        <v>13536602</v>
      </c>
      <c r="R395" s="713">
        <f t="shared" si="74"/>
        <v>20213440</v>
      </c>
      <c r="S395" s="714">
        <f t="shared" si="75"/>
        <v>6676838</v>
      </c>
    </row>
    <row r="396" spans="1:19" ht="18" customHeight="1" x14ac:dyDescent="0.25">
      <c r="A396" s="693" t="s">
        <v>745</v>
      </c>
      <c r="E396" s="707"/>
      <c r="M396" s="712"/>
      <c r="O396" s="500">
        <f t="shared" si="73"/>
        <v>2743906</v>
      </c>
      <c r="Q396" s="687">
        <v>0</v>
      </c>
      <c r="R396" s="713">
        <f t="shared" si="74"/>
        <v>2743906</v>
      </c>
      <c r="S396" s="714">
        <f t="shared" si="75"/>
        <v>2743906</v>
      </c>
    </row>
    <row r="397" spans="1:19" ht="18" customHeight="1" x14ac:dyDescent="0.25">
      <c r="A397" s="694"/>
      <c r="M397" s="712"/>
      <c r="O397" s="622"/>
      <c r="Q397" s="716"/>
      <c r="R397" s="512"/>
      <c r="S397" s="714"/>
    </row>
    <row r="398" spans="1:19" ht="18" customHeight="1" x14ac:dyDescent="0.25">
      <c r="A398" s="684" t="s">
        <v>342</v>
      </c>
      <c r="M398" s="698">
        <f>SUM(M384:M397)</f>
        <v>0</v>
      </c>
      <c r="N398" s="717"/>
      <c r="O398" s="698">
        <f>SUM(O384:O397)</f>
        <v>1294860566</v>
      </c>
      <c r="Q398" s="698">
        <f>SUM(Q384:Q397)</f>
        <v>1259300650</v>
      </c>
      <c r="R398" s="476">
        <f>SUM(R384:R397)</f>
        <v>1294860566</v>
      </c>
      <c r="S398" s="672">
        <f>SUM(S384:S397)</f>
        <v>35559916</v>
      </c>
    </row>
    <row r="399" spans="1:19" ht="18" customHeight="1" x14ac:dyDescent="0.25">
      <c r="A399" s="417">
        <f>COUNTA(A384:A397)</f>
        <v>13</v>
      </c>
      <c r="Q399" s="423" t="s">
        <v>351</v>
      </c>
      <c r="R399" s="718">
        <f>R398-S310</f>
        <v>0</v>
      </c>
      <c r="S399" s="423" t="s">
        <v>352</v>
      </c>
    </row>
    <row r="400" spans="1:19" ht="18" customHeight="1" x14ac:dyDescent="0.25">
      <c r="A400" s="572"/>
      <c r="B400" s="572"/>
      <c r="C400" s="572"/>
      <c r="D400" s="572"/>
      <c r="E400" s="572"/>
      <c r="F400" s="572"/>
      <c r="G400" s="719"/>
    </row>
    <row r="401" ht="18" customHeight="1" x14ac:dyDescent="0.25"/>
    <row r="402" ht="18" customHeight="1" x14ac:dyDescent="0.25"/>
    <row r="403" ht="18" customHeight="1" x14ac:dyDescent="0.25"/>
  </sheetData>
  <mergeCells count="5">
    <mergeCell ref="R2:S2"/>
    <mergeCell ref="E3:F3"/>
    <mergeCell ref="R5:S5"/>
    <mergeCell ref="R321:S321"/>
    <mergeCell ref="R322:S322"/>
  </mergeCells>
  <printOptions horizontalCentered="1"/>
  <pageMargins left="0.25" right="0.25" top="0.25" bottom="0.25" header="0.25" footer="0.25"/>
  <pageSetup scale="45" fitToHeight="0" orientation="landscape" horizontalDpi="1200" verticalDpi="1200" r:id="rId1"/>
  <headerFooter alignWithMargins="0">
    <oddFooter>&amp;R&amp;8&amp;D</oddFooter>
  </headerFooter>
  <rowBreaks count="3" manualBreakCount="3">
    <brk id="83" max="18" man="1"/>
    <brk id="158" max="18" man="1"/>
    <brk id="337" max="1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62A1D-702A-4AE7-854F-18AE46510BD7}">
  <sheetPr>
    <tabColor indexed="42"/>
  </sheetPr>
  <dimension ref="A1:M16"/>
  <sheetViews>
    <sheetView showGridLines="0" workbookViewId="0">
      <selection activeCell="G3" sqref="G3"/>
    </sheetView>
  </sheetViews>
  <sheetFormatPr defaultColWidth="12.5703125" defaultRowHeight="14.25" customHeight="1" x14ac:dyDescent="0.2"/>
  <cols>
    <col min="1" max="1" width="30.140625" style="720" customWidth="1"/>
    <col min="2" max="2" width="12.42578125" style="720" customWidth="1"/>
    <col min="3" max="3" width="11.7109375" style="720" customWidth="1"/>
    <col min="4" max="4" width="14.28515625" style="720" customWidth="1"/>
    <col min="5" max="5" width="14.42578125" style="720" customWidth="1"/>
    <col min="6" max="6" width="13.5703125" style="720" customWidth="1"/>
    <col min="7" max="7" width="16" style="720" customWidth="1"/>
    <col min="8" max="8" width="13.42578125" style="720" customWidth="1"/>
    <col min="9" max="9" width="15.140625" style="720" customWidth="1"/>
    <col min="10" max="16384" width="12.5703125" style="720"/>
  </cols>
  <sheetData>
    <row r="1" spans="1:13" ht="14.25" customHeight="1" x14ac:dyDescent="0.2">
      <c r="H1" s="720" t="s">
        <v>353</v>
      </c>
      <c r="J1" s="720" t="s">
        <v>354</v>
      </c>
    </row>
    <row r="2" spans="1:13" ht="37.5" customHeight="1" x14ac:dyDescent="0.2">
      <c r="C2" s="1044" t="str">
        <f>F2</f>
        <v>Appropriations Act FY 22-23</v>
      </c>
      <c r="D2" s="1045"/>
      <c r="E2" s="721">
        <f>'I&amp;O Calc'!M5</f>
        <v>9621.6635067952921</v>
      </c>
      <c r="F2" s="1044" t="s">
        <v>79</v>
      </c>
      <c r="G2" s="1045"/>
      <c r="H2" s="1044"/>
      <c r="I2" s="1045"/>
      <c r="J2" s="1044"/>
      <c r="K2" s="1045"/>
    </row>
    <row r="3" spans="1:13" ht="36.75" customHeight="1" x14ac:dyDescent="0.2">
      <c r="A3" s="722" t="s">
        <v>355</v>
      </c>
      <c r="B3" s="723" t="s">
        <v>356</v>
      </c>
      <c r="C3" s="724" t="s">
        <v>357</v>
      </c>
      <c r="D3" s="725" t="s">
        <v>358</v>
      </c>
      <c r="E3" s="726" t="s">
        <v>359</v>
      </c>
      <c r="F3" s="724" t="s">
        <v>357</v>
      </c>
      <c r="G3" s="725" t="s">
        <v>358</v>
      </c>
      <c r="H3" s="724" t="s">
        <v>357</v>
      </c>
      <c r="I3" s="725" t="s">
        <v>358</v>
      </c>
      <c r="J3" s="724" t="s">
        <v>357</v>
      </c>
      <c r="K3" s="725" t="s">
        <v>358</v>
      </c>
    </row>
    <row r="4" spans="1:13" ht="14.25" customHeight="1" x14ac:dyDescent="0.2">
      <c r="A4" s="727" t="s">
        <v>100</v>
      </c>
      <c r="B4" s="728" t="s">
        <v>172</v>
      </c>
      <c r="C4" s="729">
        <f>F4</f>
        <v>1</v>
      </c>
      <c r="D4" s="730">
        <f t="shared" ref="D4:D12" si="0">G4</f>
        <v>20000</v>
      </c>
      <c r="E4" s="721">
        <f t="shared" ref="E4:E12" si="1">C4*$E$2</f>
        <v>9621.6635067952921</v>
      </c>
      <c r="F4" s="729">
        <v>1</v>
      </c>
      <c r="G4" s="730">
        <v>20000</v>
      </c>
      <c r="H4" s="729"/>
      <c r="I4" s="730">
        <v>20000</v>
      </c>
      <c r="J4" s="729"/>
      <c r="K4" s="730">
        <v>20000</v>
      </c>
    </row>
    <row r="5" spans="1:13" ht="14.25" customHeight="1" x14ac:dyDescent="0.2">
      <c r="A5" s="731" t="s">
        <v>101</v>
      </c>
      <c r="B5" s="732" t="s">
        <v>170</v>
      </c>
      <c r="C5" s="733">
        <f t="shared" ref="C5:C12" si="2">F5</f>
        <v>1.018</v>
      </c>
      <c r="D5" s="734">
        <f t="shared" si="0"/>
        <v>20000</v>
      </c>
      <c r="E5" s="721">
        <f t="shared" si="1"/>
        <v>9794.8534499176076</v>
      </c>
      <c r="F5" s="735">
        <v>1.018</v>
      </c>
      <c r="G5" s="734">
        <v>20000</v>
      </c>
      <c r="H5" s="735"/>
      <c r="I5" s="734">
        <v>20000</v>
      </c>
      <c r="J5" s="735"/>
      <c r="K5" s="734">
        <v>20000</v>
      </c>
    </row>
    <row r="6" spans="1:13" ht="14.25" customHeight="1" x14ac:dyDescent="0.2">
      <c r="A6" s="731" t="s">
        <v>102</v>
      </c>
      <c r="B6" s="732" t="s">
        <v>198</v>
      </c>
      <c r="C6" s="733">
        <v>1.75</v>
      </c>
      <c r="D6" s="734">
        <f>G6</f>
        <v>20000</v>
      </c>
      <c r="E6" s="721">
        <f>C6*$E$2</f>
        <v>16837.911136891762</v>
      </c>
      <c r="F6" s="733">
        <v>1</v>
      </c>
      <c r="G6" s="734">
        <v>20000</v>
      </c>
      <c r="H6" s="735"/>
      <c r="I6" s="734">
        <v>20000</v>
      </c>
      <c r="J6" s="735"/>
      <c r="K6" s="734">
        <v>20000</v>
      </c>
    </row>
    <row r="7" spans="1:13" ht="14.25" customHeight="1" x14ac:dyDescent="0.2">
      <c r="A7" s="731" t="s">
        <v>135</v>
      </c>
      <c r="B7" s="732" t="s">
        <v>181</v>
      </c>
      <c r="C7" s="733">
        <f t="shared" si="2"/>
        <v>1.1379999999999999</v>
      </c>
      <c r="D7" s="734">
        <f t="shared" si="0"/>
        <v>20000</v>
      </c>
      <c r="E7" s="721">
        <f t="shared" si="1"/>
        <v>10949.453070733041</v>
      </c>
      <c r="F7" s="733">
        <v>1.1379999999999999</v>
      </c>
      <c r="G7" s="734">
        <v>20000</v>
      </c>
      <c r="H7" s="735"/>
      <c r="I7" s="734">
        <v>20000</v>
      </c>
      <c r="J7" s="735"/>
      <c r="K7" s="734">
        <v>20000</v>
      </c>
    </row>
    <row r="8" spans="1:13" ht="14.25" customHeight="1" x14ac:dyDescent="0.2">
      <c r="A8" s="731" t="s">
        <v>183</v>
      </c>
      <c r="B8" s="732" t="s">
        <v>184</v>
      </c>
      <c r="C8" s="733">
        <f t="shared" si="2"/>
        <v>1.1379999999999999</v>
      </c>
      <c r="D8" s="734">
        <f t="shared" si="0"/>
        <v>20000</v>
      </c>
      <c r="E8" s="721">
        <f t="shared" si="1"/>
        <v>10949.453070733041</v>
      </c>
      <c r="F8" s="733">
        <v>1.1379999999999999</v>
      </c>
      <c r="G8" s="734">
        <v>20000</v>
      </c>
      <c r="H8" s="735"/>
      <c r="I8" s="734">
        <v>20000</v>
      </c>
      <c r="J8" s="735"/>
      <c r="K8" s="734">
        <v>20000</v>
      </c>
    </row>
    <row r="9" spans="1:13" ht="14.25" customHeight="1" x14ac:dyDescent="0.2">
      <c r="A9" s="731" t="s">
        <v>104</v>
      </c>
      <c r="B9" s="732" t="s">
        <v>258</v>
      </c>
      <c r="C9" s="733">
        <f t="shared" si="2"/>
        <v>1.67</v>
      </c>
      <c r="D9" s="734">
        <f t="shared" si="0"/>
        <v>20000</v>
      </c>
      <c r="E9" s="721">
        <f t="shared" si="1"/>
        <v>16068.178056348137</v>
      </c>
      <c r="F9" s="733">
        <v>1.67</v>
      </c>
      <c r="G9" s="734">
        <v>20000</v>
      </c>
      <c r="H9" s="735"/>
      <c r="I9" s="734">
        <v>20000</v>
      </c>
      <c r="J9" s="735"/>
      <c r="K9" s="734">
        <v>20000</v>
      </c>
    </row>
    <row r="10" spans="1:13" ht="14.25" customHeight="1" x14ac:dyDescent="0.2">
      <c r="A10" s="731" t="s">
        <v>105</v>
      </c>
      <c r="B10" s="732" t="s">
        <v>187</v>
      </c>
      <c r="C10" s="733">
        <f t="shared" si="2"/>
        <v>1.7210000000000001</v>
      </c>
      <c r="D10" s="734">
        <f t="shared" si="0"/>
        <v>20000</v>
      </c>
      <c r="E10" s="721">
        <f t="shared" si="1"/>
        <v>16558.8828951947</v>
      </c>
      <c r="F10" s="733">
        <v>1.7210000000000001</v>
      </c>
      <c r="G10" s="734">
        <v>20000</v>
      </c>
      <c r="H10" s="735"/>
      <c r="I10" s="734">
        <v>20000</v>
      </c>
      <c r="J10" s="735"/>
      <c r="K10" s="734">
        <v>20000</v>
      </c>
    </row>
    <row r="11" spans="1:13" ht="14.25" customHeight="1" x14ac:dyDescent="0.2">
      <c r="A11" s="731" t="s">
        <v>106</v>
      </c>
      <c r="B11" s="732" t="s">
        <v>192</v>
      </c>
      <c r="C11" s="733">
        <f t="shared" si="2"/>
        <v>4.601</v>
      </c>
      <c r="D11" s="736">
        <f t="shared" si="0"/>
        <v>30000</v>
      </c>
      <c r="E11" s="721">
        <f t="shared" si="1"/>
        <v>44269.27379476514</v>
      </c>
      <c r="F11" s="733">
        <v>4.601</v>
      </c>
      <c r="G11" s="736">
        <v>30000</v>
      </c>
      <c r="H11" s="735"/>
      <c r="I11" s="736">
        <v>30000</v>
      </c>
      <c r="J11" s="735"/>
      <c r="K11" s="736">
        <v>30000</v>
      </c>
    </row>
    <row r="12" spans="1:13" ht="14.25" customHeight="1" x14ac:dyDescent="0.2">
      <c r="A12" s="731" t="s">
        <v>107</v>
      </c>
      <c r="B12" s="732" t="s">
        <v>166</v>
      </c>
      <c r="C12" s="733">
        <f t="shared" si="2"/>
        <v>4.7530000000000001</v>
      </c>
      <c r="D12" s="736">
        <f t="shared" si="0"/>
        <v>30000</v>
      </c>
      <c r="E12" s="721">
        <f t="shared" si="1"/>
        <v>45731.766647798024</v>
      </c>
      <c r="F12" s="733">
        <v>4.7530000000000001</v>
      </c>
      <c r="G12" s="736">
        <v>30000</v>
      </c>
      <c r="H12" s="735"/>
      <c r="I12" s="736">
        <v>30000</v>
      </c>
      <c r="J12" s="735"/>
      <c r="K12" s="736">
        <v>30000</v>
      </c>
      <c r="M12" s="737"/>
    </row>
    <row r="13" spans="1:13" ht="14.25" customHeight="1" x14ac:dyDescent="0.2">
      <c r="C13" s="738"/>
      <c r="D13" s="739"/>
      <c r="F13" s="738"/>
      <c r="G13" s="739"/>
      <c r="H13" s="738"/>
      <c r="I13" s="739"/>
      <c r="J13" s="738"/>
      <c r="K13" s="739"/>
    </row>
    <row r="14" spans="1:13" ht="14.25" customHeight="1" x14ac:dyDescent="0.2">
      <c r="A14" s="738"/>
      <c r="C14" s="738"/>
      <c r="D14" s="739"/>
      <c r="F14" s="738"/>
      <c r="G14" s="739"/>
      <c r="H14" s="738"/>
      <c r="I14" s="739"/>
      <c r="J14" s="738"/>
      <c r="K14" s="739"/>
    </row>
    <row r="15" spans="1:13" ht="15" customHeight="1" x14ac:dyDescent="0.2">
      <c r="A15" s="738" t="s">
        <v>360</v>
      </c>
      <c r="C15" s="738"/>
      <c r="D15" s="739">
        <f>G15</f>
        <v>200</v>
      </c>
      <c r="F15" s="738"/>
      <c r="G15" s="739">
        <v>200</v>
      </c>
      <c r="H15" s="738"/>
      <c r="I15" s="739">
        <v>200</v>
      </c>
      <c r="J15" s="738"/>
      <c r="K15" s="739">
        <v>200</v>
      </c>
    </row>
    <row r="16" spans="1:13" ht="14.25" customHeight="1" x14ac:dyDescent="0.2">
      <c r="A16" s="740"/>
      <c r="B16" s="741"/>
      <c r="C16" s="740"/>
      <c r="D16" s="742"/>
      <c r="F16" s="740"/>
      <c r="G16" s="742"/>
      <c r="H16" s="740"/>
      <c r="I16" s="742"/>
      <c r="J16" s="740"/>
      <c r="K16" s="742"/>
    </row>
  </sheetData>
  <mergeCells count="4">
    <mergeCell ref="C2:D2"/>
    <mergeCell ref="F2:G2"/>
    <mergeCell ref="H2:I2"/>
    <mergeCell ref="J2:K2"/>
  </mergeCells>
  <pageMargins left="0.5" right="0.5" top="1" bottom="1" header="0.5" footer="0.5"/>
  <pageSetup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B7E49-5D5D-4ABC-BE89-6458D161E9BD}">
  <dimension ref="A1:P230"/>
  <sheetViews>
    <sheetView showGridLines="0" workbookViewId="0">
      <pane ySplit="6" topLeftCell="A7" activePane="bottomLeft" state="frozen"/>
      <selection activeCell="G3" sqref="G3"/>
      <selection pane="bottomLeft" activeCell="G3" sqref="G3"/>
    </sheetView>
  </sheetViews>
  <sheetFormatPr defaultRowHeight="15" x14ac:dyDescent="0.25"/>
  <cols>
    <col min="1" max="1" width="40.85546875" style="747" customWidth="1"/>
    <col min="2" max="4" width="9.140625" style="747"/>
    <col min="5" max="5" width="3.7109375" style="747" customWidth="1"/>
    <col min="6" max="12" width="9.140625" style="771"/>
    <col min="13" max="13" width="9.140625" style="772"/>
    <col min="14" max="14" width="2.7109375" style="747" customWidth="1"/>
    <col min="15" max="15" width="38.5703125" style="747" bestFit="1" customWidth="1"/>
    <col min="16" max="16" width="32.5703125" style="747" bestFit="1" customWidth="1"/>
    <col min="17" max="16384" width="9.140625" style="747"/>
  </cols>
  <sheetData>
    <row r="1" spans="1:16" x14ac:dyDescent="0.25">
      <c r="A1" s="743" t="s">
        <v>361</v>
      </c>
      <c r="B1" s="744"/>
      <c r="C1" s="744"/>
      <c r="D1" s="744"/>
      <c r="E1" s="744"/>
      <c r="F1" s="745"/>
      <c r="G1" s="745"/>
      <c r="H1" s="745"/>
      <c r="I1" s="745"/>
      <c r="J1" s="745"/>
      <c r="K1" s="745"/>
      <c r="L1" s="745"/>
      <c r="M1" s="746"/>
      <c r="N1" s="744"/>
      <c r="O1" s="744"/>
      <c r="P1" s="744"/>
    </row>
    <row r="2" spans="1:16" x14ac:dyDescent="0.25">
      <c r="A2" s="748" t="s">
        <v>362</v>
      </c>
      <c r="B2" s="744"/>
      <c r="C2" s="744"/>
      <c r="D2" s="744"/>
      <c r="E2" s="744"/>
      <c r="F2" s="745"/>
      <c r="G2" s="745"/>
      <c r="H2" s="745" t="s">
        <v>363</v>
      </c>
      <c r="I2" s="745"/>
      <c r="J2" s="745"/>
      <c r="K2" s="745"/>
      <c r="L2" s="745"/>
      <c r="M2" s="746"/>
      <c r="N2" s="744"/>
      <c r="O2" s="744"/>
      <c r="P2" s="744"/>
    </row>
    <row r="3" spans="1:16" x14ac:dyDescent="0.25">
      <c r="A3" s="748" t="s">
        <v>364</v>
      </c>
      <c r="B3" s="744"/>
      <c r="C3" s="744"/>
      <c r="D3" s="744"/>
      <c r="E3" s="744"/>
      <c r="F3" s="745"/>
      <c r="G3" s="745"/>
      <c r="H3" s="745"/>
      <c r="I3" s="745"/>
      <c r="J3" s="745"/>
      <c r="K3" s="745"/>
      <c r="L3" s="745"/>
      <c r="M3" s="746"/>
      <c r="N3" s="744"/>
      <c r="O3" s="744"/>
      <c r="P3" s="744"/>
    </row>
    <row r="4" spans="1:16" x14ac:dyDescent="0.25">
      <c r="A4" s="744"/>
      <c r="B4" s="744"/>
      <c r="C4" s="744"/>
      <c r="D4" s="744"/>
      <c r="E4" s="744"/>
      <c r="F4" s="745"/>
      <c r="G4" s="745"/>
      <c r="H4" s="745"/>
      <c r="I4" s="745"/>
      <c r="J4" s="745"/>
      <c r="K4" s="749" t="s">
        <v>365</v>
      </c>
      <c r="L4" s="745"/>
      <c r="M4" s="746"/>
      <c r="N4" s="744"/>
      <c r="O4" s="744"/>
      <c r="P4" s="744"/>
    </row>
    <row r="5" spans="1:16" x14ac:dyDescent="0.25">
      <c r="A5" s="748" t="s">
        <v>366</v>
      </c>
      <c r="B5" s="748" t="s">
        <v>367</v>
      </c>
      <c r="C5" s="748" t="s">
        <v>368</v>
      </c>
      <c r="D5" s="748" t="s">
        <v>369</v>
      </c>
      <c r="E5" s="748" t="s">
        <v>370</v>
      </c>
      <c r="F5" s="745" t="s">
        <v>371</v>
      </c>
      <c r="G5" s="749" t="s">
        <v>372</v>
      </c>
      <c r="H5" s="749" t="s">
        <v>373</v>
      </c>
      <c r="I5" s="749" t="s">
        <v>374</v>
      </c>
      <c r="J5" s="749" t="s">
        <v>375</v>
      </c>
      <c r="K5" s="749" t="s">
        <v>376</v>
      </c>
      <c r="L5" s="749" t="s">
        <v>0</v>
      </c>
      <c r="M5" s="750" t="s">
        <v>377</v>
      </c>
      <c r="N5" s="751"/>
      <c r="O5" s="748" t="s">
        <v>378</v>
      </c>
      <c r="P5" s="748" t="s">
        <v>379</v>
      </c>
    </row>
    <row r="7" spans="1:16" s="753" customFormat="1" ht="15" customHeight="1" x14ac:dyDescent="0.25">
      <c r="A7" s="752" t="s">
        <v>380</v>
      </c>
      <c r="B7" s="752"/>
      <c r="C7" s="752"/>
      <c r="D7" s="752"/>
      <c r="E7" s="752"/>
      <c r="F7" s="752"/>
      <c r="G7" s="752"/>
      <c r="I7" s="754"/>
      <c r="J7" s="754"/>
      <c r="K7" s="754"/>
      <c r="L7" s="755"/>
      <c r="M7" s="754"/>
      <c r="N7" s="754"/>
    </row>
    <row r="8" spans="1:16" s="757" customFormat="1" x14ac:dyDescent="0.25">
      <c r="A8" s="756" t="s">
        <v>381</v>
      </c>
      <c r="B8" s="756">
        <v>30</v>
      </c>
      <c r="C8" s="756">
        <v>3660</v>
      </c>
      <c r="D8" s="756" t="s">
        <v>382</v>
      </c>
      <c r="E8" s="757" t="s">
        <v>382</v>
      </c>
      <c r="F8" s="758">
        <v>0</v>
      </c>
      <c r="G8" s="758">
        <v>0</v>
      </c>
      <c r="H8" s="758">
        <v>0</v>
      </c>
      <c r="I8" s="758">
        <v>892</v>
      </c>
      <c r="J8" s="758">
        <v>0</v>
      </c>
      <c r="K8" s="758">
        <v>0</v>
      </c>
      <c r="L8" s="758">
        <v>0</v>
      </c>
      <c r="M8" s="759">
        <v>892</v>
      </c>
      <c r="N8" s="759"/>
      <c r="O8" s="757" t="s">
        <v>383</v>
      </c>
      <c r="P8" s="757" t="s">
        <v>384</v>
      </c>
    </row>
    <row r="9" spans="1:16" s="757" customFormat="1" x14ac:dyDescent="0.25">
      <c r="A9" s="756" t="s">
        <v>385</v>
      </c>
      <c r="B9" s="756">
        <v>30</v>
      </c>
      <c r="C9" s="756">
        <v>101</v>
      </c>
      <c r="D9" s="756" t="s">
        <v>382</v>
      </c>
      <c r="E9" s="760" t="s">
        <v>382</v>
      </c>
      <c r="F9" s="758">
        <v>0</v>
      </c>
      <c r="G9" s="761">
        <v>4444</v>
      </c>
      <c r="H9" s="761">
        <v>11881</v>
      </c>
      <c r="I9" s="758">
        <v>0</v>
      </c>
      <c r="J9" s="758">
        <v>0</v>
      </c>
      <c r="K9" s="761">
        <v>906</v>
      </c>
      <c r="L9" s="758">
        <v>15419</v>
      </c>
      <c r="M9" s="762">
        <v>794.89</v>
      </c>
      <c r="N9" s="759"/>
      <c r="O9" s="757" t="s">
        <v>386</v>
      </c>
      <c r="P9" s="757" t="s">
        <v>384</v>
      </c>
    </row>
    <row r="10" spans="1:16" s="757" customFormat="1" x14ac:dyDescent="0.25">
      <c r="A10" s="756" t="s">
        <v>385</v>
      </c>
      <c r="B10" s="756">
        <v>30</v>
      </c>
      <c r="C10" s="756">
        <v>101</v>
      </c>
      <c r="D10" s="756" t="s">
        <v>382</v>
      </c>
      <c r="E10" s="763">
        <v>2</v>
      </c>
      <c r="F10" s="758">
        <v>0</v>
      </c>
      <c r="G10" s="764">
        <v>0</v>
      </c>
      <c r="H10" s="764">
        <v>180</v>
      </c>
      <c r="I10" s="758">
        <v>0</v>
      </c>
      <c r="J10" s="758">
        <v>0</v>
      </c>
      <c r="K10" s="764">
        <v>0</v>
      </c>
      <c r="L10" s="758">
        <v>180</v>
      </c>
      <c r="M10" s="765">
        <v>10</v>
      </c>
      <c r="N10" s="759"/>
      <c r="O10" s="757" t="s">
        <v>386</v>
      </c>
      <c r="P10" s="757" t="s">
        <v>384</v>
      </c>
    </row>
    <row r="11" spans="1:16" s="757" customFormat="1" x14ac:dyDescent="0.25">
      <c r="A11" s="756" t="s">
        <v>387</v>
      </c>
      <c r="B11" s="756">
        <v>30</v>
      </c>
      <c r="C11" s="756">
        <v>10019</v>
      </c>
      <c r="D11" s="756" t="s">
        <v>382</v>
      </c>
      <c r="E11" s="757" t="s">
        <v>382</v>
      </c>
      <c r="F11" s="758">
        <v>0</v>
      </c>
      <c r="G11" s="758">
        <v>12652</v>
      </c>
      <c r="H11" s="758">
        <v>169</v>
      </c>
      <c r="I11" s="758">
        <v>0</v>
      </c>
      <c r="J11" s="758">
        <v>0</v>
      </c>
      <c r="K11" s="758">
        <v>0</v>
      </c>
      <c r="L11" s="758">
        <v>12821</v>
      </c>
      <c r="M11" s="759">
        <v>536.55999999999995</v>
      </c>
      <c r="N11" s="759"/>
      <c r="O11" s="757" t="s">
        <v>388</v>
      </c>
      <c r="P11" s="757" t="s">
        <v>384</v>
      </c>
    </row>
    <row r="12" spans="1:16" s="757" customFormat="1" x14ac:dyDescent="0.25">
      <c r="A12" s="756" t="s">
        <v>380</v>
      </c>
      <c r="B12" s="756"/>
      <c r="C12" s="756"/>
      <c r="D12" s="756"/>
      <c r="F12" s="758"/>
      <c r="G12" s="758"/>
      <c r="H12" s="758"/>
      <c r="I12" s="758"/>
      <c r="J12" s="758"/>
      <c r="K12" s="758"/>
      <c r="L12" s="758"/>
      <c r="M12" s="759"/>
      <c r="N12" s="759"/>
    </row>
    <row r="13" spans="1:16" s="753" customFormat="1" ht="15" customHeight="1" x14ac:dyDescent="0.2">
      <c r="A13" s="753" t="s">
        <v>389</v>
      </c>
      <c r="B13" s="766">
        <v>30</v>
      </c>
      <c r="C13" s="766" t="s">
        <v>382</v>
      </c>
      <c r="D13" s="766" t="s">
        <v>382</v>
      </c>
      <c r="E13" s="753" t="s">
        <v>382</v>
      </c>
      <c r="F13" s="767">
        <v>0</v>
      </c>
      <c r="G13" s="767">
        <v>17096</v>
      </c>
      <c r="H13" s="767">
        <v>12230</v>
      </c>
      <c r="I13" s="767">
        <v>892</v>
      </c>
      <c r="J13" s="767">
        <v>0</v>
      </c>
      <c r="K13" s="767">
        <v>906</v>
      </c>
      <c r="L13" s="767">
        <v>28420</v>
      </c>
      <c r="M13" s="768">
        <f>SUM(M8:M11)</f>
        <v>2233.4499999999998</v>
      </c>
      <c r="N13" s="769"/>
    </row>
    <row r="14" spans="1:16" x14ac:dyDescent="0.25">
      <c r="B14" s="770"/>
      <c r="C14" s="770"/>
    </row>
    <row r="15" spans="1:16" x14ac:dyDescent="0.25">
      <c r="B15" s="770"/>
      <c r="C15" s="770"/>
    </row>
    <row r="16" spans="1:16" s="753" customFormat="1" ht="15" customHeight="1" x14ac:dyDescent="0.25">
      <c r="A16" s="752" t="s">
        <v>390</v>
      </c>
      <c r="B16" s="752"/>
      <c r="C16" s="752"/>
      <c r="D16" s="752"/>
      <c r="E16" s="752"/>
      <c r="G16" s="754"/>
      <c r="H16" s="754"/>
      <c r="I16" s="754"/>
      <c r="J16" s="754"/>
      <c r="K16" s="755"/>
      <c r="L16" s="754"/>
      <c r="M16" s="754"/>
    </row>
    <row r="17" spans="1:16" s="753" customFormat="1" ht="15" customHeight="1" x14ac:dyDescent="0.2">
      <c r="A17" s="753" t="s">
        <v>391</v>
      </c>
      <c r="B17" s="766">
        <v>104952</v>
      </c>
      <c r="C17" s="766">
        <v>4952</v>
      </c>
      <c r="D17" s="766" t="s">
        <v>382</v>
      </c>
      <c r="E17" s="773" t="s">
        <v>382</v>
      </c>
      <c r="F17" s="754">
        <v>0</v>
      </c>
      <c r="G17" s="754">
        <v>0</v>
      </c>
      <c r="H17" s="754">
        <v>0</v>
      </c>
      <c r="I17" s="774">
        <v>954</v>
      </c>
      <c r="J17" s="754">
        <v>0</v>
      </c>
      <c r="K17" s="754">
        <v>0</v>
      </c>
      <c r="L17" s="754">
        <v>0</v>
      </c>
      <c r="M17" s="775">
        <v>954</v>
      </c>
      <c r="O17" s="753" t="s">
        <v>392</v>
      </c>
      <c r="P17" s="753" t="s">
        <v>384</v>
      </c>
    </row>
    <row r="18" spans="1:16" s="753" customFormat="1" ht="15" customHeight="1" x14ac:dyDescent="0.2">
      <c r="A18" s="753" t="s">
        <v>391</v>
      </c>
      <c r="B18" s="753">
        <v>104952</v>
      </c>
      <c r="C18" s="766">
        <v>4952</v>
      </c>
      <c r="D18" s="766" t="s">
        <v>382</v>
      </c>
      <c r="E18" s="776">
        <v>2</v>
      </c>
      <c r="F18" s="754">
        <v>0</v>
      </c>
      <c r="G18" s="754">
        <v>0</v>
      </c>
      <c r="H18" s="754">
        <v>0</v>
      </c>
      <c r="I18" s="777">
        <v>1</v>
      </c>
      <c r="J18" s="754">
        <v>0</v>
      </c>
      <c r="K18" s="754">
        <v>0</v>
      </c>
      <c r="L18" s="754">
        <v>0</v>
      </c>
      <c r="M18" s="778">
        <v>1</v>
      </c>
    </row>
    <row r="19" spans="1:16" s="753" customFormat="1" ht="15" customHeight="1" x14ac:dyDescent="0.2">
      <c r="A19" s="753" t="s">
        <v>178</v>
      </c>
      <c r="B19" s="766">
        <v>104952</v>
      </c>
      <c r="C19" s="766">
        <v>4952</v>
      </c>
      <c r="D19" s="766"/>
      <c r="E19" s="779">
        <v>4</v>
      </c>
      <c r="F19" s="754"/>
      <c r="G19" s="754"/>
      <c r="H19" s="754"/>
      <c r="I19" s="780"/>
      <c r="J19" s="754"/>
      <c r="K19" s="754"/>
      <c r="L19" s="754"/>
      <c r="M19" s="781"/>
    </row>
    <row r="20" spans="1:16" s="753" customFormat="1" ht="15" customHeight="1" x14ac:dyDescent="0.2">
      <c r="A20" s="753" t="s">
        <v>393</v>
      </c>
      <c r="B20" s="766">
        <v>104952</v>
      </c>
      <c r="C20" s="766">
        <v>4952</v>
      </c>
      <c r="D20" s="766">
        <v>870</v>
      </c>
      <c r="E20" s="753" t="s">
        <v>382</v>
      </c>
      <c r="F20" s="754">
        <v>0</v>
      </c>
      <c r="G20" s="754">
        <v>0</v>
      </c>
      <c r="H20" s="754">
        <v>0</v>
      </c>
      <c r="I20" s="754">
        <v>0</v>
      </c>
      <c r="J20" s="754">
        <v>0</v>
      </c>
      <c r="K20" s="754">
        <v>0</v>
      </c>
      <c r="L20" s="754">
        <v>0</v>
      </c>
      <c r="M20" s="675">
        <v>0</v>
      </c>
      <c r="O20" s="753" t="s">
        <v>392</v>
      </c>
      <c r="P20" s="753" t="s">
        <v>394</v>
      </c>
    </row>
    <row r="21" spans="1:16" s="753" customFormat="1" ht="15" customHeight="1" x14ac:dyDescent="0.2">
      <c r="A21" s="753" t="s">
        <v>395</v>
      </c>
      <c r="B21" s="766">
        <v>104952</v>
      </c>
      <c r="C21" s="766">
        <v>401</v>
      </c>
      <c r="D21" s="766" t="s">
        <v>382</v>
      </c>
      <c r="E21" s="773" t="s">
        <v>382</v>
      </c>
      <c r="F21" s="754">
        <v>0</v>
      </c>
      <c r="G21" s="774">
        <v>1469</v>
      </c>
      <c r="H21" s="774">
        <v>3297</v>
      </c>
      <c r="I21" s="754">
        <v>0</v>
      </c>
      <c r="J21" s="754">
        <v>0</v>
      </c>
      <c r="K21" s="774">
        <v>190</v>
      </c>
      <c r="L21" s="754">
        <v>4576</v>
      </c>
      <c r="M21" s="775">
        <v>233.82</v>
      </c>
      <c r="O21" s="753" t="s">
        <v>396</v>
      </c>
      <c r="P21" s="753" t="s">
        <v>384</v>
      </c>
    </row>
    <row r="22" spans="1:16" s="753" customFormat="1" ht="15" customHeight="1" x14ac:dyDescent="0.2">
      <c r="A22" s="753" t="s">
        <v>395</v>
      </c>
      <c r="B22" s="766">
        <v>104952</v>
      </c>
      <c r="C22" s="766">
        <v>401</v>
      </c>
      <c r="D22" s="766" t="s">
        <v>382</v>
      </c>
      <c r="E22" s="776">
        <v>1</v>
      </c>
      <c r="F22" s="754"/>
      <c r="G22" s="777"/>
      <c r="H22" s="777"/>
      <c r="I22" s="754"/>
      <c r="J22" s="754"/>
      <c r="K22" s="777"/>
      <c r="L22" s="754"/>
      <c r="M22" s="778"/>
    </row>
    <row r="23" spans="1:16" s="753" customFormat="1" ht="15" customHeight="1" x14ac:dyDescent="0.2">
      <c r="A23" s="753" t="s">
        <v>395</v>
      </c>
      <c r="B23" s="766">
        <v>104952</v>
      </c>
      <c r="C23" s="766">
        <v>401</v>
      </c>
      <c r="D23" s="766" t="s">
        <v>382</v>
      </c>
      <c r="E23" s="779">
        <v>2</v>
      </c>
      <c r="F23" s="754">
        <v>0</v>
      </c>
      <c r="G23" s="780">
        <v>93</v>
      </c>
      <c r="H23" s="780">
        <v>328</v>
      </c>
      <c r="I23" s="754">
        <v>0</v>
      </c>
      <c r="J23" s="754">
        <v>0</v>
      </c>
      <c r="K23" s="780">
        <v>0</v>
      </c>
      <c r="L23" s="754">
        <v>421</v>
      </c>
      <c r="M23" s="781">
        <v>22.1</v>
      </c>
      <c r="O23" s="753" t="s">
        <v>396</v>
      </c>
      <c r="P23" s="753" t="s">
        <v>384</v>
      </c>
    </row>
    <row r="24" spans="1:16" s="753" customFormat="1" ht="15" customHeight="1" x14ac:dyDescent="0.2">
      <c r="A24" s="753" t="s">
        <v>397</v>
      </c>
      <c r="B24" s="766">
        <v>104952</v>
      </c>
      <c r="C24" s="766">
        <v>403</v>
      </c>
      <c r="D24" s="766" t="s">
        <v>382</v>
      </c>
      <c r="E24" s="753" t="s">
        <v>382</v>
      </c>
      <c r="F24" s="754">
        <v>4082</v>
      </c>
      <c r="G24" s="754">
        <v>22276</v>
      </c>
      <c r="H24" s="754">
        <v>5433</v>
      </c>
      <c r="I24" s="754">
        <v>0</v>
      </c>
      <c r="J24" s="754">
        <v>0</v>
      </c>
      <c r="K24" s="754">
        <v>0</v>
      </c>
      <c r="L24" s="754">
        <v>31791</v>
      </c>
      <c r="M24" s="675">
        <v>1366.07</v>
      </c>
      <c r="O24" s="753" t="s">
        <v>398</v>
      </c>
      <c r="P24" s="753" t="s">
        <v>384</v>
      </c>
    </row>
    <row r="25" spans="1:16" s="753" customFormat="1" ht="15" customHeight="1" x14ac:dyDescent="0.2">
      <c r="A25" s="753" t="s">
        <v>399</v>
      </c>
      <c r="B25" s="766">
        <v>104952</v>
      </c>
      <c r="C25" s="766">
        <v>402</v>
      </c>
      <c r="D25" s="766" t="s">
        <v>382</v>
      </c>
      <c r="E25" s="753" t="s">
        <v>382</v>
      </c>
      <c r="F25" s="754">
        <v>22808</v>
      </c>
      <c r="G25" s="754">
        <v>9188</v>
      </c>
      <c r="H25" s="754">
        <v>1707</v>
      </c>
      <c r="I25" s="754">
        <v>0</v>
      </c>
      <c r="J25" s="754">
        <v>0</v>
      </c>
      <c r="K25" s="754">
        <v>26</v>
      </c>
      <c r="L25" s="754">
        <v>33677</v>
      </c>
      <c r="M25" s="675">
        <v>1236.49</v>
      </c>
      <c r="O25" s="753" t="s">
        <v>400</v>
      </c>
      <c r="P25" s="753" t="s">
        <v>384</v>
      </c>
    </row>
    <row r="26" spans="1:16" s="753" customFormat="1" ht="15" customHeight="1" x14ac:dyDescent="0.2">
      <c r="A26" s="753" t="s">
        <v>401</v>
      </c>
      <c r="B26" s="766">
        <v>104952</v>
      </c>
      <c r="C26" s="766">
        <v>425</v>
      </c>
      <c r="D26" s="766" t="s">
        <v>382</v>
      </c>
      <c r="E26" s="773" t="s">
        <v>382</v>
      </c>
      <c r="F26" s="754">
        <v>0</v>
      </c>
      <c r="G26" s="774">
        <v>774</v>
      </c>
      <c r="H26" s="774">
        <v>303</v>
      </c>
      <c r="I26" s="754">
        <v>0</v>
      </c>
      <c r="J26" s="754">
        <v>0</v>
      </c>
      <c r="K26" s="774">
        <v>40</v>
      </c>
      <c r="L26" s="754">
        <v>1037</v>
      </c>
      <c r="M26" s="775">
        <v>46.86</v>
      </c>
      <c r="O26" s="753" t="s">
        <v>396</v>
      </c>
      <c r="P26" s="753" t="s">
        <v>384</v>
      </c>
    </row>
    <row r="27" spans="1:16" s="753" customFormat="1" ht="15" customHeight="1" x14ac:dyDescent="0.2">
      <c r="A27" s="753" t="s">
        <v>401</v>
      </c>
      <c r="B27" s="766">
        <v>104952</v>
      </c>
      <c r="C27" s="766">
        <v>425</v>
      </c>
      <c r="D27" s="766" t="s">
        <v>382</v>
      </c>
      <c r="E27" s="779">
        <v>2</v>
      </c>
      <c r="F27" s="754">
        <v>0</v>
      </c>
      <c r="G27" s="780">
        <v>54</v>
      </c>
      <c r="H27" s="780">
        <v>89</v>
      </c>
      <c r="I27" s="754">
        <v>0</v>
      </c>
      <c r="J27" s="754">
        <v>0</v>
      </c>
      <c r="K27" s="780">
        <v>7</v>
      </c>
      <c r="L27" s="754">
        <v>136</v>
      </c>
      <c r="M27" s="781">
        <v>6.81</v>
      </c>
      <c r="O27" s="753" t="s">
        <v>396</v>
      </c>
      <c r="P27" s="753" t="s">
        <v>384</v>
      </c>
    </row>
    <row r="28" spans="1:16" s="753" customFormat="1" ht="15" customHeight="1" x14ac:dyDescent="0.2">
      <c r="A28" s="753" t="s">
        <v>390</v>
      </c>
      <c r="B28" s="766"/>
      <c r="C28" s="766"/>
      <c r="D28" s="766"/>
      <c r="F28" s="754"/>
      <c r="G28" s="754"/>
      <c r="H28" s="754"/>
      <c r="I28" s="754"/>
      <c r="J28" s="754"/>
      <c r="K28" s="754"/>
      <c r="L28" s="754"/>
      <c r="M28" s="675"/>
    </row>
    <row r="29" spans="1:16" s="753" customFormat="1" ht="15" customHeight="1" x14ac:dyDescent="0.2">
      <c r="A29" s="753" t="s">
        <v>389</v>
      </c>
      <c r="B29" s="766">
        <v>104952</v>
      </c>
      <c r="C29" s="766" t="s">
        <v>382</v>
      </c>
      <c r="D29" s="766" t="s">
        <v>382</v>
      </c>
      <c r="E29" s="753" t="s">
        <v>382</v>
      </c>
      <c r="F29" s="767">
        <v>26890</v>
      </c>
      <c r="G29" s="767">
        <v>33854</v>
      </c>
      <c r="H29" s="767">
        <v>11157</v>
      </c>
      <c r="I29" s="767">
        <v>955</v>
      </c>
      <c r="J29" s="767">
        <v>0</v>
      </c>
      <c r="K29" s="767">
        <v>263</v>
      </c>
      <c r="L29" s="767">
        <v>71638</v>
      </c>
      <c r="M29" s="782">
        <f>SUM(M17:M28)</f>
        <v>3867.1499999999996</v>
      </c>
    </row>
    <row r="32" spans="1:16" s="753" customFormat="1" ht="15" customHeight="1" x14ac:dyDescent="0.25">
      <c r="A32" s="752" t="s">
        <v>402</v>
      </c>
      <c r="B32" s="752"/>
      <c r="C32" s="752"/>
      <c r="D32" s="752"/>
      <c r="E32" s="752"/>
      <c r="F32" s="752"/>
      <c r="H32" s="754"/>
      <c r="I32" s="754"/>
      <c r="J32" s="754"/>
      <c r="K32" s="755"/>
      <c r="L32" s="754"/>
      <c r="M32" s="754"/>
    </row>
    <row r="33" spans="1:16" s="753" customFormat="1" ht="15" customHeight="1" x14ac:dyDescent="0.2">
      <c r="A33" s="753" t="s">
        <v>403</v>
      </c>
      <c r="B33" s="766">
        <v>11618</v>
      </c>
      <c r="C33" s="766">
        <v>9348</v>
      </c>
      <c r="D33" s="766" t="s">
        <v>382</v>
      </c>
      <c r="E33" s="753" t="s">
        <v>382</v>
      </c>
      <c r="F33" s="754">
        <v>0</v>
      </c>
      <c r="G33" s="754">
        <v>0</v>
      </c>
      <c r="H33" s="754">
        <v>0</v>
      </c>
      <c r="I33" s="754">
        <v>979</v>
      </c>
      <c r="J33" s="754">
        <v>0</v>
      </c>
      <c r="K33" s="754">
        <v>0</v>
      </c>
      <c r="L33" s="754">
        <v>0</v>
      </c>
      <c r="M33" s="783">
        <v>979</v>
      </c>
      <c r="O33" s="753" t="s">
        <v>404</v>
      </c>
      <c r="P33" s="753" t="s">
        <v>384</v>
      </c>
    </row>
    <row r="34" spans="1:16" s="753" customFormat="1" ht="15" customHeight="1" x14ac:dyDescent="0.2">
      <c r="A34" s="753" t="s">
        <v>405</v>
      </c>
      <c r="B34" s="766">
        <v>11618</v>
      </c>
      <c r="C34" s="766">
        <v>4951</v>
      </c>
      <c r="D34" s="766" t="s">
        <v>382</v>
      </c>
      <c r="E34" s="773" t="s">
        <v>382</v>
      </c>
      <c r="F34" s="754">
        <v>0</v>
      </c>
      <c r="G34" s="754">
        <v>0</v>
      </c>
      <c r="H34" s="754">
        <v>0</v>
      </c>
      <c r="I34" s="774">
        <v>418</v>
      </c>
      <c r="J34" s="774">
        <v>0</v>
      </c>
      <c r="K34" s="754">
        <v>0</v>
      </c>
      <c r="L34" s="754">
        <v>0</v>
      </c>
      <c r="M34" s="784">
        <v>418</v>
      </c>
      <c r="O34" s="753" t="s">
        <v>406</v>
      </c>
      <c r="P34" s="753" t="s">
        <v>384</v>
      </c>
    </row>
    <row r="35" spans="1:16" s="790" customFormat="1" ht="15" customHeight="1" x14ac:dyDescent="0.2">
      <c r="A35" s="785" t="s">
        <v>405</v>
      </c>
      <c r="B35" s="766">
        <v>11618</v>
      </c>
      <c r="C35" s="766">
        <v>411</v>
      </c>
      <c r="D35" s="786" t="s">
        <v>382</v>
      </c>
      <c r="E35" s="787" t="s">
        <v>382</v>
      </c>
      <c r="F35" s="767">
        <v>0</v>
      </c>
      <c r="G35" s="767">
        <v>0</v>
      </c>
      <c r="H35" s="767">
        <v>0</v>
      </c>
      <c r="I35" s="788">
        <v>0</v>
      </c>
      <c r="J35" s="788">
        <v>89</v>
      </c>
      <c r="K35" s="767">
        <v>0</v>
      </c>
      <c r="L35" s="767">
        <v>0</v>
      </c>
      <c r="M35" s="789">
        <v>89</v>
      </c>
      <c r="O35" s="785" t="s">
        <v>407</v>
      </c>
      <c r="P35" s="785" t="s">
        <v>384</v>
      </c>
    </row>
    <row r="36" spans="1:16" s="790" customFormat="1" ht="12.75" x14ac:dyDescent="0.2">
      <c r="A36" s="785" t="s">
        <v>408</v>
      </c>
      <c r="B36" s="766">
        <v>11618</v>
      </c>
      <c r="C36" s="766">
        <v>4954</v>
      </c>
      <c r="D36" s="786" t="s">
        <v>382</v>
      </c>
      <c r="E36" s="791" t="s">
        <v>382</v>
      </c>
      <c r="F36" s="767">
        <v>0</v>
      </c>
      <c r="G36" s="792">
        <v>1964</v>
      </c>
      <c r="H36" s="792">
        <v>7458</v>
      </c>
      <c r="I36" s="767">
        <v>0</v>
      </c>
      <c r="J36" s="767">
        <v>0</v>
      </c>
      <c r="K36" s="792">
        <v>68</v>
      </c>
      <c r="L36" s="767">
        <v>9354</v>
      </c>
      <c r="M36" s="793">
        <v>492.39</v>
      </c>
      <c r="O36" s="785" t="s">
        <v>409</v>
      </c>
      <c r="P36" s="785" t="s">
        <v>384</v>
      </c>
    </row>
    <row r="37" spans="1:16" s="790" customFormat="1" ht="15" customHeight="1" x14ac:dyDescent="0.2">
      <c r="A37" s="785" t="s">
        <v>408</v>
      </c>
      <c r="B37" s="766">
        <v>11618</v>
      </c>
      <c r="C37" s="766">
        <v>4954</v>
      </c>
      <c r="D37" s="786" t="s">
        <v>382</v>
      </c>
      <c r="E37" s="794">
        <v>2</v>
      </c>
      <c r="F37" s="767">
        <v>0</v>
      </c>
      <c r="G37" s="795">
        <v>0</v>
      </c>
      <c r="H37" s="795">
        <v>60</v>
      </c>
      <c r="I37" s="767">
        <v>0</v>
      </c>
      <c r="J37" s="767">
        <v>0</v>
      </c>
      <c r="K37" s="795">
        <v>0</v>
      </c>
      <c r="L37" s="767">
        <v>60</v>
      </c>
      <c r="M37" s="789">
        <v>3.33</v>
      </c>
      <c r="O37" s="785" t="s">
        <v>409</v>
      </c>
      <c r="P37" s="785" t="s">
        <v>384</v>
      </c>
    </row>
    <row r="38" spans="1:16" s="790" customFormat="1" ht="15" customHeight="1" x14ac:dyDescent="0.2">
      <c r="A38" s="785" t="s">
        <v>408</v>
      </c>
      <c r="B38" s="766">
        <v>11618</v>
      </c>
      <c r="C38" s="766">
        <v>109348</v>
      </c>
      <c r="D38" s="766" t="s">
        <v>382</v>
      </c>
      <c r="E38" s="796" t="s">
        <v>382</v>
      </c>
      <c r="F38" s="767">
        <v>0</v>
      </c>
      <c r="G38" s="788">
        <v>749</v>
      </c>
      <c r="H38" s="788">
        <v>0</v>
      </c>
      <c r="I38" s="767">
        <v>0</v>
      </c>
      <c r="J38" s="767">
        <v>0</v>
      </c>
      <c r="K38" s="788">
        <v>0</v>
      </c>
      <c r="L38" s="767">
        <v>749</v>
      </c>
      <c r="M38" s="797">
        <v>31.21</v>
      </c>
      <c r="O38" s="785" t="s">
        <v>410</v>
      </c>
      <c r="P38" s="785" t="s">
        <v>384</v>
      </c>
    </row>
    <row r="39" spans="1:16" s="790" customFormat="1" ht="13.5" customHeight="1" x14ac:dyDescent="0.2">
      <c r="A39" s="753" t="s">
        <v>411</v>
      </c>
      <c r="B39" s="766">
        <v>11618</v>
      </c>
      <c r="C39" s="766">
        <v>4954</v>
      </c>
      <c r="D39" s="766">
        <v>879</v>
      </c>
      <c r="E39" s="785" t="s">
        <v>382</v>
      </c>
      <c r="F39" s="767">
        <v>0</v>
      </c>
      <c r="G39" s="767">
        <v>0</v>
      </c>
      <c r="H39" s="767">
        <v>96</v>
      </c>
      <c r="I39" s="767">
        <v>0</v>
      </c>
      <c r="J39" s="767">
        <v>0</v>
      </c>
      <c r="K39" s="767">
        <v>6</v>
      </c>
      <c r="L39" s="767">
        <v>90</v>
      </c>
      <c r="M39" s="797">
        <v>5</v>
      </c>
      <c r="O39" s="785" t="s">
        <v>412</v>
      </c>
      <c r="P39" s="785" t="s">
        <v>384</v>
      </c>
    </row>
    <row r="40" spans="1:16" s="790" customFormat="1" ht="14.25" customHeight="1" x14ac:dyDescent="0.2">
      <c r="A40" s="753" t="s">
        <v>413</v>
      </c>
      <c r="B40" s="766">
        <v>11618</v>
      </c>
      <c r="C40" s="766">
        <v>306</v>
      </c>
      <c r="D40" s="766" t="s">
        <v>382</v>
      </c>
      <c r="E40" s="785" t="s">
        <v>382</v>
      </c>
      <c r="F40" s="792">
        <v>0</v>
      </c>
      <c r="G40" s="767">
        <v>0</v>
      </c>
      <c r="H40" s="767">
        <v>0</v>
      </c>
      <c r="I40" s="767">
        <v>0</v>
      </c>
      <c r="J40" s="767">
        <v>0</v>
      </c>
      <c r="K40" s="767">
        <v>0</v>
      </c>
      <c r="L40" s="767">
        <v>0</v>
      </c>
      <c r="M40" s="793">
        <v>0</v>
      </c>
      <c r="O40" s="785" t="s">
        <v>414</v>
      </c>
      <c r="P40" s="785" t="s">
        <v>384</v>
      </c>
    </row>
    <row r="41" spans="1:16" s="753" customFormat="1" ht="15" customHeight="1" x14ac:dyDescent="0.25">
      <c r="A41" s="753" t="s">
        <v>415</v>
      </c>
      <c r="B41" s="766">
        <v>11618</v>
      </c>
      <c r="C41" s="766">
        <v>410</v>
      </c>
      <c r="D41" s="766" t="s">
        <v>382</v>
      </c>
      <c r="E41" s="753" t="s">
        <v>382</v>
      </c>
      <c r="F41" s="798">
        <v>2271</v>
      </c>
      <c r="G41" s="771">
        <v>0</v>
      </c>
      <c r="H41" s="771">
        <v>0</v>
      </c>
      <c r="I41" s="771">
        <v>0</v>
      </c>
      <c r="J41" s="771">
        <v>0</v>
      </c>
      <c r="K41" s="771">
        <v>0</v>
      </c>
      <c r="L41" s="771">
        <v>2271</v>
      </c>
      <c r="M41" s="799">
        <v>75.7</v>
      </c>
      <c r="O41" s="753" t="s">
        <v>407</v>
      </c>
      <c r="P41" s="753" t="s">
        <v>384</v>
      </c>
    </row>
    <row r="42" spans="1:16" s="753" customFormat="1" ht="15" customHeight="1" x14ac:dyDescent="0.25">
      <c r="A42" s="753" t="s">
        <v>416</v>
      </c>
      <c r="B42" s="766">
        <v>11618</v>
      </c>
      <c r="C42" s="766">
        <v>203</v>
      </c>
      <c r="D42" s="766" t="s">
        <v>382</v>
      </c>
      <c r="E42" s="773" t="s">
        <v>382</v>
      </c>
      <c r="F42" s="800">
        <v>0</v>
      </c>
      <c r="G42" s="801">
        <v>3353</v>
      </c>
      <c r="H42" s="801">
        <v>599</v>
      </c>
      <c r="I42" s="771">
        <v>0</v>
      </c>
      <c r="J42" s="771">
        <v>0</v>
      </c>
      <c r="K42" s="771">
        <v>12</v>
      </c>
      <c r="L42" s="771">
        <v>3940</v>
      </c>
      <c r="M42" s="802">
        <v>172.32</v>
      </c>
      <c r="O42" s="753" t="s">
        <v>417</v>
      </c>
      <c r="P42" s="753" t="s">
        <v>384</v>
      </c>
    </row>
    <row r="43" spans="1:16" s="753" customFormat="1" ht="15" customHeight="1" x14ac:dyDescent="0.25">
      <c r="A43" s="753" t="s">
        <v>416</v>
      </c>
      <c r="B43" s="766">
        <v>11618</v>
      </c>
      <c r="C43" s="766">
        <v>203</v>
      </c>
      <c r="D43" s="766" t="s">
        <v>382</v>
      </c>
      <c r="E43" s="779">
        <v>2</v>
      </c>
      <c r="F43" s="800">
        <v>0</v>
      </c>
      <c r="G43" s="803">
        <v>12</v>
      </c>
      <c r="H43" s="803">
        <v>0</v>
      </c>
      <c r="I43" s="771">
        <v>0</v>
      </c>
      <c r="J43" s="771">
        <v>0</v>
      </c>
      <c r="K43" s="771">
        <v>0</v>
      </c>
      <c r="L43" s="771">
        <v>12</v>
      </c>
      <c r="M43" s="799">
        <v>0.5</v>
      </c>
      <c r="O43" s="753" t="s">
        <v>417</v>
      </c>
      <c r="P43" s="753" t="s">
        <v>384</v>
      </c>
    </row>
    <row r="44" spans="1:16" s="790" customFormat="1" ht="14.25" customHeight="1" x14ac:dyDescent="0.2">
      <c r="A44" s="785" t="s">
        <v>418</v>
      </c>
      <c r="B44" s="766">
        <v>11618</v>
      </c>
      <c r="C44" s="766">
        <v>203</v>
      </c>
      <c r="D44" s="766">
        <v>872</v>
      </c>
      <c r="E44" s="785" t="s">
        <v>382</v>
      </c>
      <c r="F44" s="767">
        <v>0</v>
      </c>
      <c r="G44" s="767">
        <v>0</v>
      </c>
      <c r="H44" s="767">
        <v>0</v>
      </c>
      <c r="I44" s="767">
        <v>0</v>
      </c>
      <c r="J44" s="767">
        <v>0</v>
      </c>
      <c r="K44" s="767">
        <v>0</v>
      </c>
      <c r="L44" s="767">
        <v>0</v>
      </c>
      <c r="M44" s="789">
        <v>0</v>
      </c>
      <c r="O44" s="785" t="s">
        <v>417</v>
      </c>
      <c r="P44" s="785" t="s">
        <v>419</v>
      </c>
    </row>
    <row r="45" spans="1:16" s="753" customFormat="1" ht="15" customHeight="1" x14ac:dyDescent="0.25">
      <c r="A45" s="753" t="s">
        <v>420</v>
      </c>
      <c r="B45" s="766">
        <v>11618</v>
      </c>
      <c r="C45" s="766">
        <v>201</v>
      </c>
      <c r="D45" s="766" t="s">
        <v>382</v>
      </c>
      <c r="E45" s="753" t="s">
        <v>382</v>
      </c>
      <c r="F45" s="800">
        <v>24925</v>
      </c>
      <c r="G45" s="771">
        <v>11641</v>
      </c>
      <c r="H45" s="771">
        <v>5983</v>
      </c>
      <c r="I45" s="771">
        <v>0</v>
      </c>
      <c r="J45" s="771">
        <v>0</v>
      </c>
      <c r="K45" s="771">
        <v>0</v>
      </c>
      <c r="L45" s="771">
        <v>42549</v>
      </c>
      <c r="M45" s="802">
        <v>1648.26</v>
      </c>
      <c r="O45" s="753" t="s">
        <v>421</v>
      </c>
      <c r="P45" s="753" t="s">
        <v>384</v>
      </c>
    </row>
    <row r="46" spans="1:16" s="790" customFormat="1" ht="12.75" x14ac:dyDescent="0.2">
      <c r="A46" s="753" t="s">
        <v>422</v>
      </c>
      <c r="B46" s="766">
        <v>11618</v>
      </c>
      <c r="C46" s="766">
        <v>201</v>
      </c>
      <c r="D46" s="766">
        <v>876</v>
      </c>
      <c r="E46" s="785" t="s">
        <v>382</v>
      </c>
      <c r="F46" s="767">
        <v>0</v>
      </c>
      <c r="G46" s="767">
        <v>0</v>
      </c>
      <c r="H46" s="767">
        <v>0</v>
      </c>
      <c r="I46" s="767">
        <v>0</v>
      </c>
      <c r="J46" s="767">
        <v>0</v>
      </c>
      <c r="K46" s="767">
        <v>0</v>
      </c>
      <c r="L46" s="767">
        <v>0</v>
      </c>
      <c r="M46" s="797">
        <v>0</v>
      </c>
      <c r="O46" s="785" t="s">
        <v>421</v>
      </c>
      <c r="P46" s="785" t="s">
        <v>423</v>
      </c>
    </row>
    <row r="47" spans="1:16" s="753" customFormat="1" ht="15" customHeight="1" x14ac:dyDescent="0.25">
      <c r="A47" s="753" t="s">
        <v>424</v>
      </c>
      <c r="B47" s="766">
        <v>11618</v>
      </c>
      <c r="C47" s="766">
        <v>6956</v>
      </c>
      <c r="D47" s="766" t="s">
        <v>382</v>
      </c>
      <c r="E47" s="773" t="s">
        <v>382</v>
      </c>
      <c r="F47" s="800">
        <v>0</v>
      </c>
      <c r="G47" s="801">
        <v>12322</v>
      </c>
      <c r="H47" s="801">
        <v>5442</v>
      </c>
      <c r="I47" s="771">
        <v>0</v>
      </c>
      <c r="J47" s="771">
        <v>0</v>
      </c>
      <c r="K47" s="801">
        <v>1</v>
      </c>
      <c r="L47" s="771">
        <v>17763</v>
      </c>
      <c r="M47" s="802">
        <v>815.69</v>
      </c>
      <c r="O47" s="753" t="s">
        <v>425</v>
      </c>
      <c r="P47" s="753" t="s">
        <v>384</v>
      </c>
    </row>
    <row r="48" spans="1:16" s="753" customFormat="1" ht="15" customHeight="1" x14ac:dyDescent="0.25">
      <c r="A48" s="753" t="s">
        <v>424</v>
      </c>
      <c r="B48" s="766">
        <v>11618</v>
      </c>
      <c r="C48" s="766">
        <v>6956</v>
      </c>
      <c r="D48" s="766" t="s">
        <v>382</v>
      </c>
      <c r="E48" s="779">
        <v>2</v>
      </c>
      <c r="F48" s="800">
        <v>0</v>
      </c>
      <c r="G48" s="803">
        <v>345</v>
      </c>
      <c r="H48" s="803">
        <v>0</v>
      </c>
      <c r="I48" s="771">
        <v>0</v>
      </c>
      <c r="J48" s="771">
        <v>0</v>
      </c>
      <c r="K48" s="803">
        <v>0</v>
      </c>
      <c r="L48" s="771">
        <v>345</v>
      </c>
      <c r="M48" s="799">
        <v>14.38</v>
      </c>
      <c r="O48" s="753" t="s">
        <v>425</v>
      </c>
      <c r="P48" s="753" t="s">
        <v>384</v>
      </c>
    </row>
    <row r="49" spans="1:16" s="753" customFormat="1" ht="15" customHeight="1" x14ac:dyDescent="0.25">
      <c r="A49" s="753" t="s">
        <v>426</v>
      </c>
      <c r="B49" s="766">
        <v>11618</v>
      </c>
      <c r="C49" s="766">
        <v>6956</v>
      </c>
      <c r="D49" s="766">
        <v>871</v>
      </c>
      <c r="E49" s="753" t="s">
        <v>382</v>
      </c>
      <c r="F49" s="800">
        <v>0</v>
      </c>
      <c r="G49" s="771">
        <v>3555</v>
      </c>
      <c r="H49" s="771">
        <v>464</v>
      </c>
      <c r="I49" s="771">
        <v>0</v>
      </c>
      <c r="J49" s="771">
        <v>0</v>
      </c>
      <c r="K49" s="771">
        <v>0</v>
      </c>
      <c r="L49" s="771">
        <v>4019</v>
      </c>
      <c r="M49" s="804">
        <v>173.9</v>
      </c>
      <c r="O49" s="753" t="s">
        <v>425</v>
      </c>
      <c r="P49" s="753" t="s">
        <v>427</v>
      </c>
    </row>
    <row r="50" spans="1:16" s="753" customFormat="1" ht="15" customHeight="1" x14ac:dyDescent="0.2">
      <c r="A50" s="753" t="s">
        <v>428</v>
      </c>
      <c r="B50" s="766">
        <v>11618</v>
      </c>
      <c r="C50" s="766">
        <v>6956</v>
      </c>
      <c r="D50" s="766">
        <v>872</v>
      </c>
      <c r="E50" s="753" t="s">
        <v>382</v>
      </c>
      <c r="F50" s="800">
        <v>0</v>
      </c>
      <c r="G50" s="754">
        <v>575</v>
      </c>
      <c r="H50" s="754">
        <v>208</v>
      </c>
      <c r="I50" s="754">
        <v>0</v>
      </c>
      <c r="J50" s="754">
        <v>0</v>
      </c>
      <c r="K50" s="754">
        <v>0</v>
      </c>
      <c r="L50" s="754">
        <v>783</v>
      </c>
      <c r="M50" s="805">
        <v>35.51</v>
      </c>
      <c r="O50" s="753" t="s">
        <v>425</v>
      </c>
      <c r="P50" s="753" t="s">
        <v>419</v>
      </c>
    </row>
    <row r="51" spans="1:16" s="753" customFormat="1" ht="15" customHeight="1" x14ac:dyDescent="0.2">
      <c r="A51" s="753" t="s">
        <v>429</v>
      </c>
      <c r="B51" s="766">
        <v>11618</v>
      </c>
      <c r="C51" s="766">
        <v>6956</v>
      </c>
      <c r="D51" s="766">
        <v>874</v>
      </c>
      <c r="E51" s="773" t="s">
        <v>382</v>
      </c>
      <c r="F51" s="800">
        <v>0</v>
      </c>
      <c r="G51" s="774">
        <v>2280</v>
      </c>
      <c r="H51" s="774">
        <v>350</v>
      </c>
      <c r="I51" s="754">
        <v>0</v>
      </c>
      <c r="J51" s="754">
        <v>0</v>
      </c>
      <c r="K51" s="754">
        <v>0</v>
      </c>
      <c r="L51" s="754">
        <v>2630</v>
      </c>
      <c r="M51" s="784">
        <v>114.44</v>
      </c>
      <c r="O51" s="753" t="s">
        <v>425</v>
      </c>
      <c r="P51" s="753" t="s">
        <v>430</v>
      </c>
    </row>
    <row r="52" spans="1:16" s="753" customFormat="1" ht="15" customHeight="1" x14ac:dyDescent="0.2">
      <c r="A52" s="753" t="s">
        <v>429</v>
      </c>
      <c r="B52" s="766">
        <v>11618</v>
      </c>
      <c r="C52" s="766">
        <v>6956</v>
      </c>
      <c r="D52" s="766">
        <v>874</v>
      </c>
      <c r="E52" s="779">
        <v>2</v>
      </c>
      <c r="F52" s="800"/>
      <c r="G52" s="780"/>
      <c r="H52" s="780"/>
      <c r="I52" s="754"/>
      <c r="J52" s="754"/>
      <c r="K52" s="754"/>
      <c r="L52" s="754"/>
      <c r="M52" s="806"/>
    </row>
    <row r="53" spans="1:16" s="753" customFormat="1" ht="15" customHeight="1" x14ac:dyDescent="0.2">
      <c r="A53" s="753" t="s">
        <v>431</v>
      </c>
      <c r="B53" s="766">
        <v>11618</v>
      </c>
      <c r="C53" s="766">
        <v>6956</v>
      </c>
      <c r="D53" s="766">
        <v>876</v>
      </c>
      <c r="E53" s="753" t="s">
        <v>382</v>
      </c>
      <c r="F53" s="800">
        <v>0</v>
      </c>
      <c r="G53" s="754">
        <v>386</v>
      </c>
      <c r="H53" s="754">
        <v>159</v>
      </c>
      <c r="I53" s="754">
        <v>0</v>
      </c>
      <c r="J53" s="754">
        <v>0</v>
      </c>
      <c r="K53" s="754">
        <v>0</v>
      </c>
      <c r="L53" s="754">
        <v>545</v>
      </c>
      <c r="M53" s="805">
        <v>24.92</v>
      </c>
      <c r="O53" s="753" t="s">
        <v>425</v>
      </c>
      <c r="P53" s="753" t="s">
        <v>423</v>
      </c>
    </row>
    <row r="54" spans="1:16" s="753" customFormat="1" ht="15" customHeight="1" x14ac:dyDescent="0.2">
      <c r="A54" s="753" t="s">
        <v>432</v>
      </c>
      <c r="B54" s="766">
        <v>11618</v>
      </c>
      <c r="C54" s="766">
        <v>6956</v>
      </c>
      <c r="D54" s="766">
        <v>878</v>
      </c>
      <c r="E54" s="753" t="s">
        <v>382</v>
      </c>
      <c r="F54" s="800">
        <v>0</v>
      </c>
      <c r="G54" s="754">
        <v>2645</v>
      </c>
      <c r="H54" s="754">
        <v>348</v>
      </c>
      <c r="I54" s="754">
        <v>0</v>
      </c>
      <c r="J54" s="754">
        <v>0</v>
      </c>
      <c r="K54" s="754">
        <v>0</v>
      </c>
      <c r="L54" s="754">
        <v>2993</v>
      </c>
      <c r="M54" s="781">
        <v>129.54</v>
      </c>
      <c r="O54" s="753" t="s">
        <v>425</v>
      </c>
      <c r="P54" s="753" t="s">
        <v>433</v>
      </c>
    </row>
    <row r="55" spans="1:16" s="753" customFormat="1" ht="15" customHeight="1" x14ac:dyDescent="0.2">
      <c r="A55" s="753" t="s">
        <v>402</v>
      </c>
      <c r="B55" s="766"/>
      <c r="C55" s="766"/>
      <c r="D55" s="766"/>
      <c r="F55" s="800"/>
      <c r="G55" s="754"/>
      <c r="H55" s="754"/>
      <c r="I55" s="754"/>
      <c r="J55" s="754"/>
      <c r="K55" s="754"/>
      <c r="L55" s="754"/>
      <c r="M55" s="675"/>
    </row>
    <row r="56" spans="1:16" s="753" customFormat="1" ht="15" customHeight="1" x14ac:dyDescent="0.25">
      <c r="A56" s="753" t="s">
        <v>389</v>
      </c>
      <c r="B56" s="766">
        <v>11618</v>
      </c>
      <c r="C56" s="766" t="s">
        <v>382</v>
      </c>
      <c r="D56" s="766" t="s">
        <v>382</v>
      </c>
      <c r="E56" s="753" t="s">
        <v>382</v>
      </c>
      <c r="F56" s="771">
        <v>27196</v>
      </c>
      <c r="G56" s="771">
        <v>39827</v>
      </c>
      <c r="H56" s="771">
        <v>21167</v>
      </c>
      <c r="I56" s="771">
        <v>1397</v>
      </c>
      <c r="J56" s="771">
        <v>89</v>
      </c>
      <c r="K56" s="771">
        <v>87</v>
      </c>
      <c r="L56" s="771">
        <v>88103</v>
      </c>
      <c r="M56" s="807">
        <f>SUM(M33:M55)</f>
        <v>5223.0899999999992</v>
      </c>
    </row>
    <row r="57" spans="1:16" x14ac:dyDescent="0.25">
      <c r="B57" s="770"/>
      <c r="C57" s="770"/>
      <c r="D57" s="770"/>
    </row>
    <row r="58" spans="1:16" x14ac:dyDescent="0.25">
      <c r="B58" s="770"/>
      <c r="C58" s="770"/>
      <c r="D58" s="770"/>
    </row>
    <row r="59" spans="1:16" s="753" customFormat="1" ht="15" customHeight="1" x14ac:dyDescent="0.25">
      <c r="A59" s="752" t="s">
        <v>434</v>
      </c>
      <c r="B59" s="752"/>
      <c r="C59" s="752"/>
      <c r="D59" s="752"/>
      <c r="E59" s="752"/>
      <c r="F59" s="752"/>
      <c r="H59" s="754"/>
      <c r="I59" s="754"/>
      <c r="J59" s="754"/>
      <c r="K59" s="755"/>
      <c r="L59" s="754"/>
      <c r="M59" s="754"/>
    </row>
    <row r="60" spans="1:16" s="753" customFormat="1" ht="15" customHeight="1" x14ac:dyDescent="0.2">
      <c r="A60" s="808" t="s">
        <v>435</v>
      </c>
      <c r="B60" s="809">
        <v>40</v>
      </c>
      <c r="C60" s="809">
        <v>3659</v>
      </c>
      <c r="D60" s="809" t="s">
        <v>382</v>
      </c>
      <c r="E60" s="810" t="s">
        <v>382</v>
      </c>
      <c r="F60" s="755">
        <v>0</v>
      </c>
      <c r="G60" s="755">
        <v>0</v>
      </c>
      <c r="H60" s="755">
        <v>0</v>
      </c>
      <c r="I60" s="811">
        <v>860</v>
      </c>
      <c r="J60" s="755">
        <v>0</v>
      </c>
      <c r="K60" s="755">
        <v>0</v>
      </c>
      <c r="L60" s="755">
        <v>0</v>
      </c>
      <c r="M60" s="812">
        <v>860</v>
      </c>
      <c r="O60" s="753" t="s">
        <v>436</v>
      </c>
      <c r="P60" s="753" t="s">
        <v>384</v>
      </c>
    </row>
    <row r="61" spans="1:16" s="753" customFormat="1" ht="15" customHeight="1" x14ac:dyDescent="0.2">
      <c r="A61" s="779" t="s">
        <v>437</v>
      </c>
      <c r="B61" s="766">
        <v>40</v>
      </c>
      <c r="C61" s="766">
        <v>3659</v>
      </c>
      <c r="D61" s="766">
        <v>882</v>
      </c>
      <c r="E61" s="753" t="s">
        <v>382</v>
      </c>
      <c r="F61" s="754">
        <v>0</v>
      </c>
      <c r="G61" s="754">
        <v>0</v>
      </c>
      <c r="H61" s="754">
        <v>0</v>
      </c>
      <c r="I61" s="780">
        <v>0</v>
      </c>
      <c r="J61" s="754">
        <v>0</v>
      </c>
      <c r="K61" s="754">
        <v>0</v>
      </c>
      <c r="L61" s="754">
        <v>0</v>
      </c>
      <c r="M61" s="806">
        <v>0</v>
      </c>
      <c r="O61" s="753" t="s">
        <v>436</v>
      </c>
      <c r="P61" s="753" t="s">
        <v>438</v>
      </c>
    </row>
    <row r="62" spans="1:16" s="753" customFormat="1" ht="15" customHeight="1" x14ac:dyDescent="0.2">
      <c r="A62" s="773" t="s">
        <v>439</v>
      </c>
      <c r="B62" s="766">
        <v>40</v>
      </c>
      <c r="C62" s="766">
        <v>304</v>
      </c>
      <c r="D62" s="766" t="s">
        <v>382</v>
      </c>
      <c r="E62" s="810" t="s">
        <v>382</v>
      </c>
      <c r="F62" s="754">
        <v>0</v>
      </c>
      <c r="G62" s="754">
        <v>0</v>
      </c>
      <c r="H62" s="754">
        <v>0</v>
      </c>
      <c r="I62" s="774">
        <v>0</v>
      </c>
      <c r="J62" s="774">
        <v>103</v>
      </c>
      <c r="K62" s="754">
        <v>0</v>
      </c>
      <c r="L62" s="754">
        <v>0</v>
      </c>
      <c r="M62" s="784">
        <v>103</v>
      </c>
      <c r="O62" s="753" t="s">
        <v>440</v>
      </c>
      <c r="P62" s="753" t="s">
        <v>384</v>
      </c>
    </row>
    <row r="63" spans="1:16" s="753" customFormat="1" ht="15" customHeight="1" x14ac:dyDescent="0.2">
      <c r="A63" s="776" t="s">
        <v>439</v>
      </c>
      <c r="B63" s="766">
        <v>40</v>
      </c>
      <c r="C63" s="766">
        <v>9799</v>
      </c>
      <c r="D63" s="766" t="s">
        <v>382</v>
      </c>
      <c r="E63" s="810" t="s">
        <v>382</v>
      </c>
      <c r="F63" s="754">
        <v>0</v>
      </c>
      <c r="G63" s="754">
        <v>0</v>
      </c>
      <c r="H63" s="754">
        <v>0</v>
      </c>
      <c r="I63" s="780">
        <v>411</v>
      </c>
      <c r="J63" s="780">
        <v>0</v>
      </c>
      <c r="K63" s="754">
        <v>0</v>
      </c>
      <c r="L63" s="754">
        <v>0</v>
      </c>
      <c r="M63" s="805">
        <v>411</v>
      </c>
      <c r="O63" s="753" t="s">
        <v>441</v>
      </c>
      <c r="P63" s="753" t="s">
        <v>384</v>
      </c>
    </row>
    <row r="64" spans="1:16" s="817" customFormat="1" x14ac:dyDescent="0.25">
      <c r="A64" s="813" t="s">
        <v>442</v>
      </c>
      <c r="B64" s="814">
        <v>40</v>
      </c>
      <c r="C64" s="814">
        <v>9799</v>
      </c>
      <c r="D64" s="814">
        <v>882</v>
      </c>
      <c r="E64" s="815" t="s">
        <v>382</v>
      </c>
      <c r="F64" s="815">
        <v>0</v>
      </c>
      <c r="G64" s="815">
        <v>0</v>
      </c>
      <c r="H64" s="815">
        <v>0</v>
      </c>
      <c r="I64" s="815">
        <v>0</v>
      </c>
      <c r="J64" s="815">
        <v>0</v>
      </c>
      <c r="K64" s="815">
        <v>0</v>
      </c>
      <c r="L64" s="815">
        <v>0</v>
      </c>
      <c r="M64" s="816">
        <v>0</v>
      </c>
      <c r="O64" s="817" t="s">
        <v>441</v>
      </c>
      <c r="P64" s="818" t="s">
        <v>438</v>
      </c>
    </row>
    <row r="65" spans="1:16" s="753" customFormat="1" ht="15" customHeight="1" x14ac:dyDescent="0.2">
      <c r="A65" s="776" t="s">
        <v>443</v>
      </c>
      <c r="B65" s="766">
        <v>40</v>
      </c>
      <c r="C65" s="766">
        <v>304</v>
      </c>
      <c r="D65" s="766">
        <v>884</v>
      </c>
      <c r="E65" s="753" t="s">
        <v>382</v>
      </c>
      <c r="F65" s="754">
        <v>0</v>
      </c>
      <c r="G65" s="754">
        <v>0</v>
      </c>
      <c r="H65" s="754">
        <v>0</v>
      </c>
      <c r="I65" s="754">
        <v>0</v>
      </c>
      <c r="J65" s="780">
        <v>4</v>
      </c>
      <c r="K65" s="754">
        <v>0</v>
      </c>
      <c r="L65" s="754">
        <v>0</v>
      </c>
      <c r="M65" s="805">
        <v>4</v>
      </c>
      <c r="O65" s="753" t="s">
        <v>440</v>
      </c>
      <c r="P65" s="753" t="s">
        <v>444</v>
      </c>
    </row>
    <row r="66" spans="1:16" s="753" customFormat="1" ht="15" customHeight="1" x14ac:dyDescent="0.2">
      <c r="A66" s="776" t="s">
        <v>443</v>
      </c>
      <c r="B66" s="766">
        <v>40</v>
      </c>
      <c r="C66" s="766">
        <v>9799</v>
      </c>
      <c r="D66" s="766">
        <v>884</v>
      </c>
      <c r="E66" s="753" t="s">
        <v>382</v>
      </c>
      <c r="F66" s="754">
        <v>0</v>
      </c>
      <c r="G66" s="754">
        <v>0</v>
      </c>
      <c r="H66" s="754">
        <v>0</v>
      </c>
      <c r="I66" s="754">
        <v>0</v>
      </c>
      <c r="J66" s="754">
        <v>0</v>
      </c>
      <c r="K66" s="754">
        <v>0</v>
      </c>
      <c r="L66" s="754">
        <v>0</v>
      </c>
      <c r="M66" s="805">
        <v>0</v>
      </c>
      <c r="O66" s="753" t="s">
        <v>441</v>
      </c>
      <c r="P66" s="753" t="s">
        <v>444</v>
      </c>
    </row>
    <row r="67" spans="1:16" s="753" customFormat="1" ht="15" customHeight="1" x14ac:dyDescent="0.2">
      <c r="A67" s="773" t="s">
        <v>445</v>
      </c>
      <c r="B67" s="766">
        <v>40</v>
      </c>
      <c r="C67" s="766">
        <v>301</v>
      </c>
      <c r="D67" s="766" t="s">
        <v>382</v>
      </c>
      <c r="E67" s="773" t="s">
        <v>382</v>
      </c>
      <c r="F67" s="754">
        <v>0</v>
      </c>
      <c r="G67" s="774">
        <v>1449</v>
      </c>
      <c r="H67" s="774">
        <v>4323</v>
      </c>
      <c r="I67" s="754">
        <v>0</v>
      </c>
      <c r="J67" s="754">
        <v>0</v>
      </c>
      <c r="K67" s="774">
        <v>0</v>
      </c>
      <c r="L67" s="754">
        <v>5772</v>
      </c>
      <c r="M67" s="784">
        <v>300.54000000000002</v>
      </c>
      <c r="O67" s="753" t="s">
        <v>446</v>
      </c>
      <c r="P67" s="753" t="s">
        <v>384</v>
      </c>
    </row>
    <row r="68" spans="1:16" s="753" customFormat="1" ht="15" customHeight="1" x14ac:dyDescent="0.2">
      <c r="A68" s="819" t="s">
        <v>445</v>
      </c>
      <c r="B68" s="766">
        <v>40</v>
      </c>
      <c r="C68" s="766">
        <v>301</v>
      </c>
      <c r="D68" s="766"/>
      <c r="E68" s="776">
        <v>4</v>
      </c>
      <c r="F68" s="754"/>
      <c r="G68" s="777"/>
      <c r="H68" s="777"/>
      <c r="I68" s="754"/>
      <c r="J68" s="754"/>
      <c r="K68" s="777"/>
      <c r="L68" s="754"/>
      <c r="M68" s="820"/>
    </row>
    <row r="69" spans="1:16" s="753" customFormat="1" ht="15" customHeight="1" x14ac:dyDescent="0.2">
      <c r="A69" s="821" t="s">
        <v>445</v>
      </c>
      <c r="B69" s="766">
        <v>40</v>
      </c>
      <c r="C69" s="766">
        <v>301</v>
      </c>
      <c r="D69" s="766" t="s">
        <v>382</v>
      </c>
      <c r="E69" s="776">
        <v>2</v>
      </c>
      <c r="F69" s="754">
        <v>0</v>
      </c>
      <c r="G69" s="777">
        <v>0</v>
      </c>
      <c r="H69" s="780">
        <v>4</v>
      </c>
      <c r="I69" s="754">
        <v>0</v>
      </c>
      <c r="J69" s="754">
        <v>0</v>
      </c>
      <c r="K69" s="780">
        <v>0</v>
      </c>
      <c r="L69" s="754">
        <v>4</v>
      </c>
      <c r="M69" s="820">
        <v>0.22</v>
      </c>
      <c r="O69" s="753" t="s">
        <v>446</v>
      </c>
      <c r="P69" s="753" t="s">
        <v>384</v>
      </c>
    </row>
    <row r="70" spans="1:16" s="753" customFormat="1" ht="15" customHeight="1" x14ac:dyDescent="0.2">
      <c r="A70" s="753" t="s">
        <v>447</v>
      </c>
      <c r="B70" s="766">
        <v>40</v>
      </c>
      <c r="C70" s="766">
        <v>303</v>
      </c>
      <c r="D70" s="766" t="s">
        <v>382</v>
      </c>
      <c r="E70" s="773" t="s">
        <v>382</v>
      </c>
      <c r="F70" s="774">
        <v>6389</v>
      </c>
      <c r="G70" s="774">
        <v>17804</v>
      </c>
      <c r="H70" s="754">
        <v>5352</v>
      </c>
      <c r="I70" s="754">
        <v>0</v>
      </c>
      <c r="J70" s="754">
        <v>0</v>
      </c>
      <c r="K70" s="754">
        <v>0</v>
      </c>
      <c r="L70" s="754">
        <v>29545</v>
      </c>
      <c r="M70" s="775">
        <v>1252.1300000000001</v>
      </c>
      <c r="O70" s="753" t="s">
        <v>448</v>
      </c>
      <c r="P70" s="753" t="s">
        <v>384</v>
      </c>
    </row>
    <row r="71" spans="1:16" s="753" customFormat="1" ht="15" customHeight="1" x14ac:dyDescent="0.2">
      <c r="A71" s="753" t="s">
        <v>447</v>
      </c>
      <c r="B71" s="766">
        <v>40</v>
      </c>
      <c r="C71" s="766">
        <v>303</v>
      </c>
      <c r="D71" s="766" t="s">
        <v>382</v>
      </c>
      <c r="E71" s="776">
        <v>1</v>
      </c>
      <c r="F71" s="777">
        <v>1427</v>
      </c>
      <c r="G71" s="777">
        <v>0</v>
      </c>
      <c r="H71" s="754">
        <v>0</v>
      </c>
      <c r="I71" s="754">
        <v>0</v>
      </c>
      <c r="J71" s="754">
        <v>0</v>
      </c>
      <c r="K71" s="754">
        <v>0</v>
      </c>
      <c r="L71" s="754">
        <v>1427</v>
      </c>
      <c r="M71" s="778">
        <v>47.57</v>
      </c>
      <c r="O71" s="753" t="s">
        <v>448</v>
      </c>
      <c r="P71" s="753" t="s">
        <v>384</v>
      </c>
    </row>
    <row r="72" spans="1:16" s="817" customFormat="1" x14ac:dyDescent="0.25">
      <c r="A72" s="814" t="s">
        <v>447</v>
      </c>
      <c r="B72" s="814">
        <v>40</v>
      </c>
      <c r="C72" s="814">
        <v>305</v>
      </c>
      <c r="D72" s="814" t="s">
        <v>382</v>
      </c>
      <c r="E72" s="779" t="s">
        <v>382</v>
      </c>
      <c r="F72" s="822">
        <v>0</v>
      </c>
      <c r="G72" s="822">
        <v>181</v>
      </c>
      <c r="H72" s="815">
        <v>0</v>
      </c>
      <c r="I72" s="815">
        <v>0</v>
      </c>
      <c r="J72" s="815">
        <v>0</v>
      </c>
      <c r="K72" s="815">
        <v>0</v>
      </c>
      <c r="L72" s="815">
        <v>181</v>
      </c>
      <c r="M72" s="823">
        <v>7.54</v>
      </c>
      <c r="O72" s="817" t="s">
        <v>449</v>
      </c>
      <c r="P72" s="818" t="s">
        <v>384</v>
      </c>
    </row>
    <row r="73" spans="1:16" s="817" customFormat="1" x14ac:dyDescent="0.25">
      <c r="A73" s="814" t="s">
        <v>222</v>
      </c>
      <c r="B73" s="814">
        <v>40</v>
      </c>
      <c r="C73" s="814">
        <v>305</v>
      </c>
      <c r="D73" s="814">
        <v>312</v>
      </c>
      <c r="E73" s="753" t="s">
        <v>382</v>
      </c>
      <c r="F73" s="815">
        <v>0</v>
      </c>
      <c r="G73" s="815">
        <v>17</v>
      </c>
      <c r="H73" s="815">
        <v>0</v>
      </c>
      <c r="I73" s="815">
        <v>0</v>
      </c>
      <c r="J73" s="815">
        <v>0</v>
      </c>
      <c r="K73" s="815">
        <v>0</v>
      </c>
      <c r="L73" s="815">
        <v>17</v>
      </c>
      <c r="M73" s="816">
        <v>0.71</v>
      </c>
      <c r="O73" s="817" t="s">
        <v>449</v>
      </c>
      <c r="P73" s="818" t="s">
        <v>450</v>
      </c>
    </row>
    <row r="74" spans="1:16" s="817" customFormat="1" x14ac:dyDescent="0.25">
      <c r="A74" s="753" t="s">
        <v>451</v>
      </c>
      <c r="B74" s="814">
        <v>40</v>
      </c>
      <c r="C74" s="814">
        <v>311</v>
      </c>
      <c r="D74" s="814" t="s">
        <v>382</v>
      </c>
      <c r="E74" s="815" t="s">
        <v>382</v>
      </c>
      <c r="F74" s="767">
        <v>1242</v>
      </c>
      <c r="G74" s="767">
        <v>0</v>
      </c>
      <c r="H74" s="767">
        <v>0</v>
      </c>
      <c r="I74" s="767">
        <v>0</v>
      </c>
      <c r="J74" s="767">
        <v>0</v>
      </c>
      <c r="K74" s="767">
        <v>0</v>
      </c>
      <c r="L74" s="767">
        <v>1242</v>
      </c>
      <c r="M74" s="789">
        <v>41.4</v>
      </c>
      <c r="O74" s="817" t="s">
        <v>449</v>
      </c>
      <c r="P74" s="818" t="s">
        <v>384</v>
      </c>
    </row>
    <row r="75" spans="1:16" s="817" customFormat="1" x14ac:dyDescent="0.25">
      <c r="A75" s="814" t="s">
        <v>452</v>
      </c>
      <c r="B75" s="814">
        <v>40</v>
      </c>
      <c r="C75" s="814">
        <v>303</v>
      </c>
      <c r="D75" s="814">
        <v>882</v>
      </c>
      <c r="E75" s="815" t="s">
        <v>382</v>
      </c>
      <c r="F75" s="815">
        <v>0</v>
      </c>
      <c r="G75" s="815">
        <v>0</v>
      </c>
      <c r="H75" s="815">
        <v>0</v>
      </c>
      <c r="I75" s="815">
        <v>0</v>
      </c>
      <c r="J75" s="815">
        <v>0</v>
      </c>
      <c r="K75" s="815">
        <v>0</v>
      </c>
      <c r="L75" s="815">
        <v>0</v>
      </c>
      <c r="M75" s="816">
        <v>0</v>
      </c>
      <c r="O75" s="817" t="s">
        <v>448</v>
      </c>
      <c r="P75" s="818" t="s">
        <v>438</v>
      </c>
    </row>
    <row r="76" spans="1:16" s="817" customFormat="1" x14ac:dyDescent="0.25">
      <c r="A76" s="814" t="s">
        <v>453</v>
      </c>
      <c r="B76" s="814">
        <v>40</v>
      </c>
      <c r="C76" s="814">
        <v>303</v>
      </c>
      <c r="D76" s="814">
        <v>884</v>
      </c>
      <c r="E76" s="815" t="s">
        <v>382</v>
      </c>
      <c r="F76" s="815">
        <v>12</v>
      </c>
      <c r="G76" s="815">
        <v>285</v>
      </c>
      <c r="H76" s="815">
        <v>12</v>
      </c>
      <c r="I76" s="815">
        <v>0</v>
      </c>
      <c r="J76" s="815">
        <v>0</v>
      </c>
      <c r="K76" s="815">
        <v>0</v>
      </c>
      <c r="L76" s="815">
        <v>309</v>
      </c>
      <c r="M76" s="823">
        <v>12.94</v>
      </c>
      <c r="O76" s="817" t="s">
        <v>448</v>
      </c>
      <c r="P76" s="818" t="s">
        <v>444</v>
      </c>
    </row>
    <row r="77" spans="1:16" s="817" customFormat="1" x14ac:dyDescent="0.25">
      <c r="A77" s="814" t="s">
        <v>454</v>
      </c>
      <c r="B77" s="814">
        <v>40</v>
      </c>
      <c r="C77" s="814">
        <v>302</v>
      </c>
      <c r="D77" s="814" t="s">
        <v>382</v>
      </c>
      <c r="E77" s="815" t="s">
        <v>382</v>
      </c>
      <c r="F77" s="815">
        <v>19363</v>
      </c>
      <c r="G77" s="815">
        <v>1490</v>
      </c>
      <c r="H77" s="815">
        <v>3745</v>
      </c>
      <c r="I77" s="815">
        <v>0</v>
      </c>
      <c r="J77" s="815">
        <v>0</v>
      </c>
      <c r="K77" s="815">
        <v>0</v>
      </c>
      <c r="L77" s="815">
        <v>24598</v>
      </c>
      <c r="M77" s="818">
        <v>915.57</v>
      </c>
      <c r="O77" s="817" t="s">
        <v>455</v>
      </c>
      <c r="P77" s="818" t="s">
        <v>384</v>
      </c>
    </row>
    <row r="78" spans="1:16" s="817" customFormat="1" x14ac:dyDescent="0.25">
      <c r="A78" s="814" t="s">
        <v>227</v>
      </c>
      <c r="B78" s="814">
        <v>40</v>
      </c>
      <c r="C78" s="814">
        <v>302</v>
      </c>
      <c r="D78" s="814">
        <v>884</v>
      </c>
      <c r="E78" s="815" t="s">
        <v>382</v>
      </c>
      <c r="F78" s="815">
        <v>0</v>
      </c>
      <c r="G78" s="815">
        <v>74</v>
      </c>
      <c r="H78" s="815">
        <v>0</v>
      </c>
      <c r="I78" s="815">
        <v>0</v>
      </c>
      <c r="J78" s="815">
        <v>0</v>
      </c>
      <c r="K78" s="815">
        <v>0</v>
      </c>
      <c r="L78" s="815">
        <v>74</v>
      </c>
      <c r="M78" s="818">
        <v>3.08</v>
      </c>
      <c r="O78" s="817" t="s">
        <v>455</v>
      </c>
      <c r="P78" s="818" t="s">
        <v>444</v>
      </c>
    </row>
    <row r="79" spans="1:16" s="817" customFormat="1" x14ac:dyDescent="0.25">
      <c r="A79" s="814" t="s">
        <v>434</v>
      </c>
      <c r="B79" s="814"/>
      <c r="C79" s="814"/>
      <c r="D79" s="814"/>
      <c r="E79" s="815"/>
      <c r="F79" s="815"/>
      <c r="G79" s="815"/>
      <c r="H79" s="815"/>
      <c r="I79" s="815"/>
      <c r="J79" s="815"/>
      <c r="K79" s="815"/>
      <c r="L79" s="815"/>
      <c r="M79" s="818"/>
      <c r="P79" s="818"/>
    </row>
    <row r="80" spans="1:16" s="817" customFormat="1" x14ac:dyDescent="0.25">
      <c r="A80" s="814" t="s">
        <v>389</v>
      </c>
      <c r="B80" s="814">
        <v>40</v>
      </c>
      <c r="C80" s="814" t="s">
        <v>382</v>
      </c>
      <c r="D80" s="814" t="s">
        <v>382</v>
      </c>
      <c r="E80" s="815" t="s">
        <v>382</v>
      </c>
      <c r="F80" s="815">
        <v>28433</v>
      </c>
      <c r="G80" s="815">
        <v>21300</v>
      </c>
      <c r="H80" s="815">
        <v>13436</v>
      </c>
      <c r="I80" s="815">
        <v>1271</v>
      </c>
      <c r="J80" s="815">
        <v>107</v>
      </c>
      <c r="K80" s="815">
        <v>0</v>
      </c>
      <c r="L80" s="815">
        <v>63169</v>
      </c>
      <c r="M80" s="824">
        <f>SUM(M60:M79)</f>
        <v>3959.7000000000007</v>
      </c>
      <c r="P80" s="818"/>
    </row>
    <row r="81" spans="1:16" x14ac:dyDescent="0.25">
      <c r="B81" s="770"/>
      <c r="C81" s="770"/>
      <c r="D81" s="770"/>
    </row>
    <row r="82" spans="1:16" x14ac:dyDescent="0.25">
      <c r="B82" s="770"/>
      <c r="C82" s="770"/>
      <c r="D82" s="770"/>
    </row>
    <row r="83" spans="1:16" s="753" customFormat="1" ht="15" customHeight="1" x14ac:dyDescent="0.25">
      <c r="A83" s="752" t="s">
        <v>456</v>
      </c>
      <c r="B83" s="752"/>
      <c r="C83" s="752"/>
      <c r="D83" s="752"/>
      <c r="E83" s="752"/>
      <c r="F83" s="754"/>
      <c r="H83" s="754"/>
      <c r="I83" s="754"/>
      <c r="J83" s="754"/>
      <c r="K83" s="755"/>
      <c r="L83" s="754"/>
      <c r="M83" s="754"/>
    </row>
    <row r="84" spans="1:16" x14ac:dyDescent="0.25">
      <c r="A84" s="825" t="s">
        <v>457</v>
      </c>
      <c r="B84" s="814">
        <v>25554</v>
      </c>
      <c r="C84" s="814">
        <v>25554</v>
      </c>
      <c r="D84" s="770" t="s">
        <v>382</v>
      </c>
      <c r="E84" s="825" t="s">
        <v>382</v>
      </c>
      <c r="F84" s="771">
        <v>10866</v>
      </c>
      <c r="G84" s="771">
        <v>726</v>
      </c>
      <c r="H84" s="771">
        <v>0</v>
      </c>
      <c r="I84" s="771">
        <v>0</v>
      </c>
      <c r="J84" s="771">
        <v>0</v>
      </c>
      <c r="K84" s="771">
        <v>0</v>
      </c>
      <c r="L84" s="771">
        <v>11592</v>
      </c>
      <c r="M84" s="772">
        <v>392.45</v>
      </c>
      <c r="O84" s="825" t="s">
        <v>458</v>
      </c>
      <c r="P84" s="825" t="s">
        <v>384</v>
      </c>
    </row>
    <row r="85" spans="1:16" x14ac:dyDescent="0.25">
      <c r="A85" s="825" t="s">
        <v>456</v>
      </c>
      <c r="B85" s="770"/>
      <c r="C85" s="770"/>
      <c r="D85" s="770"/>
      <c r="E85" s="825"/>
      <c r="O85" s="825"/>
      <c r="P85" s="825"/>
    </row>
    <row r="86" spans="1:16" x14ac:dyDescent="0.25">
      <c r="A86" s="825" t="s">
        <v>389</v>
      </c>
      <c r="B86" s="770">
        <v>25554</v>
      </c>
      <c r="C86" s="770" t="s">
        <v>382</v>
      </c>
      <c r="D86" s="770" t="s">
        <v>382</v>
      </c>
      <c r="E86" s="747" t="s">
        <v>382</v>
      </c>
      <c r="F86" s="771">
        <v>10866</v>
      </c>
      <c r="G86" s="771">
        <v>726</v>
      </c>
      <c r="H86" s="771">
        <v>0</v>
      </c>
      <c r="I86" s="771">
        <v>0</v>
      </c>
      <c r="J86" s="771">
        <v>0</v>
      </c>
      <c r="K86" s="771">
        <v>0</v>
      </c>
      <c r="L86" s="771">
        <v>11592</v>
      </c>
      <c r="M86" s="807">
        <f>SUM(M84:M85)</f>
        <v>392.45</v>
      </c>
    </row>
    <row r="87" spans="1:16" s="790" customFormat="1" ht="12.75" x14ac:dyDescent="0.2">
      <c r="B87" s="786"/>
      <c r="C87" s="786"/>
      <c r="D87" s="786"/>
      <c r="F87" s="767"/>
      <c r="G87" s="767"/>
      <c r="H87" s="767"/>
      <c r="I87" s="767"/>
      <c r="J87" s="767"/>
      <c r="K87" s="767"/>
      <c r="L87" s="767"/>
      <c r="M87" s="826"/>
    </row>
    <row r="88" spans="1:16" s="790" customFormat="1" ht="12.75" x14ac:dyDescent="0.2">
      <c r="B88" s="786"/>
      <c r="C88" s="786"/>
      <c r="D88" s="786"/>
      <c r="F88" s="767"/>
      <c r="G88" s="767"/>
      <c r="H88" s="767"/>
      <c r="I88" s="767"/>
      <c r="J88" s="767"/>
      <c r="K88" s="767"/>
      <c r="L88" s="767"/>
      <c r="M88" s="826"/>
    </row>
    <row r="89" spans="1:16" s="753" customFormat="1" ht="15" customHeight="1" x14ac:dyDescent="0.25">
      <c r="A89" s="752" t="s">
        <v>459</v>
      </c>
      <c r="B89" s="752"/>
      <c r="C89" s="752"/>
      <c r="D89" s="752"/>
      <c r="E89" s="752"/>
      <c r="F89" s="754"/>
      <c r="H89" s="754"/>
      <c r="I89" s="754"/>
      <c r="J89" s="754"/>
      <c r="K89" s="755"/>
      <c r="L89" s="754"/>
      <c r="M89" s="754"/>
    </row>
    <row r="90" spans="1:16" x14ac:dyDescent="0.25">
      <c r="A90" s="825" t="s">
        <v>460</v>
      </c>
      <c r="B90" s="814">
        <v>42439</v>
      </c>
      <c r="C90" s="814">
        <v>427</v>
      </c>
      <c r="D90" s="770" t="s">
        <v>382</v>
      </c>
      <c r="E90" s="825" t="s">
        <v>382</v>
      </c>
      <c r="F90" s="771">
        <v>0</v>
      </c>
      <c r="G90" s="771">
        <v>226</v>
      </c>
      <c r="H90" s="771">
        <v>0</v>
      </c>
      <c r="I90" s="771">
        <v>0</v>
      </c>
      <c r="J90" s="771">
        <v>0</v>
      </c>
      <c r="K90" s="771">
        <v>0</v>
      </c>
      <c r="L90" s="771">
        <v>226</v>
      </c>
      <c r="M90" s="772">
        <v>9.42</v>
      </c>
      <c r="O90" s="825" t="s">
        <v>461</v>
      </c>
      <c r="P90" s="825" t="s">
        <v>384</v>
      </c>
    </row>
    <row r="91" spans="1:16" x14ac:dyDescent="0.25">
      <c r="A91" s="825" t="s">
        <v>462</v>
      </c>
      <c r="B91" s="814">
        <v>42439</v>
      </c>
      <c r="C91" s="814">
        <v>429</v>
      </c>
      <c r="D91" s="770" t="s">
        <v>382</v>
      </c>
      <c r="E91" s="825" t="s">
        <v>382</v>
      </c>
      <c r="F91" s="771">
        <v>0</v>
      </c>
      <c r="G91" s="771">
        <v>1419</v>
      </c>
      <c r="H91" s="771">
        <v>0</v>
      </c>
      <c r="I91" s="771">
        <v>0</v>
      </c>
      <c r="J91" s="771">
        <v>0</v>
      </c>
      <c r="K91" s="771">
        <v>0</v>
      </c>
      <c r="L91" s="771">
        <v>1419</v>
      </c>
      <c r="M91" s="772">
        <v>59.13</v>
      </c>
      <c r="O91" s="825" t="s">
        <v>463</v>
      </c>
      <c r="P91" s="825" t="s">
        <v>384</v>
      </c>
    </row>
    <row r="92" spans="1:16" x14ac:dyDescent="0.25">
      <c r="A92" s="825" t="s">
        <v>459</v>
      </c>
      <c r="B92" s="770"/>
      <c r="C92" s="770"/>
      <c r="D92" s="770"/>
    </row>
    <row r="93" spans="1:16" x14ac:dyDescent="0.25">
      <c r="A93" s="825" t="s">
        <v>389</v>
      </c>
      <c r="B93" s="770">
        <v>42439</v>
      </c>
      <c r="C93" s="770" t="s">
        <v>382</v>
      </c>
      <c r="D93" s="770" t="s">
        <v>382</v>
      </c>
      <c r="E93" s="825" t="s">
        <v>382</v>
      </c>
      <c r="F93" s="771">
        <v>0</v>
      </c>
      <c r="G93" s="771">
        <v>1645</v>
      </c>
      <c r="H93" s="771">
        <v>0</v>
      </c>
      <c r="I93" s="771">
        <v>0</v>
      </c>
      <c r="J93" s="771">
        <v>0</v>
      </c>
      <c r="K93" s="771">
        <v>0</v>
      </c>
      <c r="L93" s="771">
        <v>1645</v>
      </c>
      <c r="M93" s="807">
        <f>SUM(M90:M92)</f>
        <v>68.55</v>
      </c>
    </row>
    <row r="94" spans="1:16" x14ac:dyDescent="0.25">
      <c r="B94" s="770"/>
      <c r="C94" s="770"/>
      <c r="D94" s="770"/>
    </row>
    <row r="95" spans="1:16" x14ac:dyDescent="0.25">
      <c r="B95" s="770"/>
      <c r="C95" s="770"/>
      <c r="D95" s="770"/>
    </row>
    <row r="96" spans="1:16" s="753" customFormat="1" ht="15" customHeight="1" x14ac:dyDescent="0.25">
      <c r="A96" s="752" t="s">
        <v>464</v>
      </c>
      <c r="B96" s="752"/>
      <c r="C96" s="752"/>
      <c r="D96" s="752"/>
      <c r="E96" s="752"/>
      <c r="G96" s="754"/>
      <c r="H96" s="754"/>
      <c r="I96" s="754"/>
      <c r="J96" s="754"/>
      <c r="K96" s="755"/>
      <c r="L96" s="754"/>
      <c r="M96" s="754"/>
    </row>
    <row r="97" spans="1:16" s="753" customFormat="1" ht="15" customHeight="1" x14ac:dyDescent="0.2">
      <c r="A97" s="753" t="s">
        <v>465</v>
      </c>
      <c r="B97" s="766">
        <v>89</v>
      </c>
      <c r="C97" s="766">
        <v>80</v>
      </c>
      <c r="D97" s="766" t="s">
        <v>382</v>
      </c>
      <c r="E97" s="753" t="s">
        <v>382</v>
      </c>
      <c r="F97" s="754">
        <v>0</v>
      </c>
      <c r="G97" s="754">
        <v>0</v>
      </c>
      <c r="H97" s="754">
        <v>0</v>
      </c>
      <c r="I97" s="754">
        <v>220</v>
      </c>
      <c r="J97" s="754">
        <v>0</v>
      </c>
      <c r="K97" s="754">
        <v>0</v>
      </c>
      <c r="L97" s="754">
        <v>0</v>
      </c>
      <c r="M97" s="775">
        <v>220</v>
      </c>
      <c r="O97" s="753" t="s">
        <v>466</v>
      </c>
      <c r="P97" s="753" t="s">
        <v>384</v>
      </c>
    </row>
    <row r="98" spans="1:16" s="753" customFormat="1" ht="15" customHeight="1" x14ac:dyDescent="0.2">
      <c r="A98" s="753" t="s">
        <v>467</v>
      </c>
      <c r="B98" s="766">
        <v>89</v>
      </c>
      <c r="C98" s="766">
        <v>80</v>
      </c>
      <c r="D98" s="766">
        <v>850</v>
      </c>
      <c r="E98" s="753" t="s">
        <v>382</v>
      </c>
      <c r="F98" s="754">
        <v>0</v>
      </c>
      <c r="G98" s="754">
        <v>0</v>
      </c>
      <c r="H98" s="754">
        <v>0</v>
      </c>
      <c r="I98" s="754">
        <v>118</v>
      </c>
      <c r="J98" s="754">
        <v>0</v>
      </c>
      <c r="K98" s="754">
        <v>0</v>
      </c>
      <c r="L98" s="754">
        <v>0</v>
      </c>
      <c r="M98" s="778">
        <v>118</v>
      </c>
      <c r="O98" s="753" t="s">
        <v>466</v>
      </c>
      <c r="P98" s="753" t="s">
        <v>468</v>
      </c>
    </row>
    <row r="99" spans="1:16" x14ac:dyDescent="0.25">
      <c r="A99" s="825" t="s">
        <v>469</v>
      </c>
      <c r="B99" s="766">
        <v>89</v>
      </c>
      <c r="C99" s="766">
        <v>80</v>
      </c>
      <c r="D99" s="766">
        <v>852</v>
      </c>
      <c r="E99" s="825" t="s">
        <v>382</v>
      </c>
      <c r="F99" s="771">
        <v>0</v>
      </c>
      <c r="G99" s="771">
        <v>0</v>
      </c>
      <c r="H99" s="771">
        <v>0</v>
      </c>
      <c r="I99" s="771">
        <v>134</v>
      </c>
      <c r="J99" s="771">
        <v>0</v>
      </c>
      <c r="K99" s="771">
        <v>0</v>
      </c>
      <c r="L99" s="771">
        <v>0</v>
      </c>
      <c r="M99" s="804">
        <v>134</v>
      </c>
      <c r="O99" s="825" t="s">
        <v>466</v>
      </c>
      <c r="P99" s="825" t="s">
        <v>470</v>
      </c>
    </row>
    <row r="100" spans="1:16" s="753" customFormat="1" ht="15" customHeight="1" x14ac:dyDescent="0.2">
      <c r="A100" s="753" t="s">
        <v>471</v>
      </c>
      <c r="B100" s="766">
        <v>89</v>
      </c>
      <c r="C100" s="766">
        <v>80</v>
      </c>
      <c r="D100" s="766">
        <v>853</v>
      </c>
      <c r="E100" s="753" t="s">
        <v>382</v>
      </c>
      <c r="F100" s="754">
        <v>0</v>
      </c>
      <c r="G100" s="754">
        <v>0</v>
      </c>
      <c r="H100" s="754">
        <v>0</v>
      </c>
      <c r="I100" s="754">
        <v>22</v>
      </c>
      <c r="J100" s="754">
        <v>0</v>
      </c>
      <c r="K100" s="754">
        <v>0</v>
      </c>
      <c r="L100" s="754">
        <v>0</v>
      </c>
      <c r="M100" s="778">
        <v>22</v>
      </c>
      <c r="O100" s="753" t="s">
        <v>466</v>
      </c>
      <c r="P100" s="753" t="s">
        <v>472</v>
      </c>
    </row>
    <row r="101" spans="1:16" s="753" customFormat="1" ht="15" customHeight="1" x14ac:dyDescent="0.2">
      <c r="A101" s="753" t="s">
        <v>473</v>
      </c>
      <c r="B101" s="766">
        <v>89</v>
      </c>
      <c r="C101" s="766">
        <v>80</v>
      </c>
      <c r="D101" s="766">
        <v>854</v>
      </c>
      <c r="E101" s="753" t="s">
        <v>382</v>
      </c>
      <c r="F101" s="754">
        <v>0</v>
      </c>
      <c r="G101" s="754">
        <v>0</v>
      </c>
      <c r="H101" s="754">
        <v>0</v>
      </c>
      <c r="I101" s="754">
        <v>88</v>
      </c>
      <c r="J101" s="754">
        <v>0</v>
      </c>
      <c r="K101" s="754">
        <v>0</v>
      </c>
      <c r="L101" s="754">
        <v>0</v>
      </c>
      <c r="M101" s="781">
        <v>88</v>
      </c>
      <c r="O101" s="753" t="s">
        <v>466</v>
      </c>
      <c r="P101" s="753" t="s">
        <v>474</v>
      </c>
    </row>
    <row r="102" spans="1:16" s="753" customFormat="1" ht="15" customHeight="1" x14ac:dyDescent="0.2">
      <c r="A102" s="753" t="s">
        <v>475</v>
      </c>
      <c r="B102" s="766">
        <v>89</v>
      </c>
      <c r="C102" s="766">
        <v>4948</v>
      </c>
      <c r="D102" s="766">
        <v>850</v>
      </c>
      <c r="E102" s="753" t="s">
        <v>382</v>
      </c>
      <c r="F102" s="754">
        <v>0</v>
      </c>
      <c r="G102" s="754">
        <v>0</v>
      </c>
      <c r="H102" s="754">
        <v>0</v>
      </c>
      <c r="I102" s="774">
        <v>416</v>
      </c>
      <c r="J102" s="774">
        <v>0</v>
      </c>
      <c r="K102" s="754">
        <v>0</v>
      </c>
      <c r="L102" s="754">
        <v>0</v>
      </c>
      <c r="M102" s="775">
        <v>416</v>
      </c>
      <c r="O102" s="753" t="s">
        <v>476</v>
      </c>
      <c r="P102" s="753" t="s">
        <v>468</v>
      </c>
    </row>
    <row r="103" spans="1:16" s="753" customFormat="1" ht="15" customHeight="1" x14ac:dyDescent="0.2">
      <c r="A103" s="753" t="s">
        <v>475</v>
      </c>
      <c r="B103" s="766">
        <v>89</v>
      </c>
      <c r="C103" s="766">
        <v>406</v>
      </c>
      <c r="D103" s="766">
        <v>850</v>
      </c>
      <c r="E103" s="753" t="s">
        <v>382</v>
      </c>
      <c r="F103" s="754">
        <v>0</v>
      </c>
      <c r="G103" s="827">
        <v>0</v>
      </c>
      <c r="H103" s="827">
        <v>0</v>
      </c>
      <c r="I103" s="780">
        <v>0</v>
      </c>
      <c r="J103" s="780">
        <v>91</v>
      </c>
      <c r="K103" s="754">
        <v>0</v>
      </c>
      <c r="L103" s="754">
        <v>0</v>
      </c>
      <c r="M103" s="778">
        <v>91</v>
      </c>
      <c r="O103" s="753" t="s">
        <v>477</v>
      </c>
      <c r="P103" s="753" t="s">
        <v>468</v>
      </c>
    </row>
    <row r="104" spans="1:16" ht="15" customHeight="1" x14ac:dyDescent="0.25">
      <c r="A104" s="753" t="s">
        <v>478</v>
      </c>
      <c r="B104" s="766">
        <v>89</v>
      </c>
      <c r="C104" s="766">
        <v>89</v>
      </c>
      <c r="D104" s="766" t="s">
        <v>382</v>
      </c>
      <c r="E104" s="773" t="s">
        <v>382</v>
      </c>
      <c r="F104" s="771">
        <v>0</v>
      </c>
      <c r="G104" s="801">
        <v>0</v>
      </c>
      <c r="H104" s="801">
        <v>0</v>
      </c>
      <c r="I104" s="771">
        <v>0</v>
      </c>
      <c r="J104" s="771">
        <v>0</v>
      </c>
      <c r="K104" s="801">
        <v>0</v>
      </c>
      <c r="L104" s="771">
        <v>0</v>
      </c>
      <c r="M104" s="802">
        <v>0</v>
      </c>
      <c r="O104" s="825" t="s">
        <v>479</v>
      </c>
      <c r="P104" s="825" t="s">
        <v>384</v>
      </c>
    </row>
    <row r="105" spans="1:16" ht="15" customHeight="1" x14ac:dyDescent="0.25">
      <c r="A105" s="753" t="s">
        <v>478</v>
      </c>
      <c r="B105" s="766">
        <v>89</v>
      </c>
      <c r="C105" s="766">
        <v>180</v>
      </c>
      <c r="D105" s="766" t="s">
        <v>382</v>
      </c>
      <c r="E105" s="776" t="s">
        <v>382</v>
      </c>
      <c r="F105" s="771">
        <v>0</v>
      </c>
      <c r="G105" s="828">
        <v>710</v>
      </c>
      <c r="H105" s="828">
        <v>750</v>
      </c>
      <c r="I105" s="771">
        <v>0</v>
      </c>
      <c r="J105" s="771">
        <v>0</v>
      </c>
      <c r="K105" s="828">
        <v>23</v>
      </c>
      <c r="L105" s="771">
        <v>1437</v>
      </c>
      <c r="M105" s="804">
        <v>69.97</v>
      </c>
      <c r="O105" s="825" t="s">
        <v>479</v>
      </c>
      <c r="P105" s="825" t="s">
        <v>384</v>
      </c>
    </row>
    <row r="106" spans="1:16" s="790" customFormat="1" ht="12.75" x14ac:dyDescent="0.2">
      <c r="A106" s="785" t="s">
        <v>478</v>
      </c>
      <c r="B106" s="766">
        <v>89</v>
      </c>
      <c r="C106" s="766">
        <v>180</v>
      </c>
      <c r="D106" s="766" t="s">
        <v>382</v>
      </c>
      <c r="E106" s="779">
        <v>4</v>
      </c>
      <c r="F106" s="767">
        <v>0</v>
      </c>
      <c r="G106" s="788">
        <v>157</v>
      </c>
      <c r="H106" s="788">
        <v>0</v>
      </c>
      <c r="I106" s="767">
        <v>0</v>
      </c>
      <c r="J106" s="767">
        <v>0</v>
      </c>
      <c r="K106" s="788">
        <v>0</v>
      </c>
      <c r="L106" s="767">
        <v>157</v>
      </c>
      <c r="M106" s="789">
        <v>6.54</v>
      </c>
      <c r="O106" s="785" t="s">
        <v>479</v>
      </c>
      <c r="P106" s="785" t="s">
        <v>384</v>
      </c>
    </row>
    <row r="107" spans="1:16" s="753" customFormat="1" ht="15" customHeight="1" x14ac:dyDescent="0.2">
      <c r="A107" s="829" t="s">
        <v>480</v>
      </c>
      <c r="B107" s="766">
        <v>89</v>
      </c>
      <c r="C107" s="766">
        <v>417</v>
      </c>
      <c r="D107" s="766">
        <v>850</v>
      </c>
      <c r="E107" s="773" t="s">
        <v>382</v>
      </c>
      <c r="F107" s="754">
        <v>0</v>
      </c>
      <c r="G107" s="774">
        <v>64</v>
      </c>
      <c r="H107" s="774">
        <v>282</v>
      </c>
      <c r="I107" s="754">
        <v>0</v>
      </c>
      <c r="J107" s="754">
        <v>0</v>
      </c>
      <c r="K107" s="774">
        <v>23</v>
      </c>
      <c r="L107" s="754">
        <v>323</v>
      </c>
      <c r="M107" s="775">
        <v>17.059999999999999</v>
      </c>
      <c r="O107" s="753" t="s">
        <v>477</v>
      </c>
      <c r="P107" s="753" t="s">
        <v>468</v>
      </c>
    </row>
    <row r="108" spans="1:16" s="790" customFormat="1" ht="12.75" x14ac:dyDescent="0.2">
      <c r="A108" s="829" t="s">
        <v>481</v>
      </c>
      <c r="B108" s="766">
        <v>89</v>
      </c>
      <c r="C108" s="766">
        <v>180</v>
      </c>
      <c r="D108" s="766">
        <v>850</v>
      </c>
      <c r="E108" s="830">
        <v>4</v>
      </c>
      <c r="F108" s="767"/>
      <c r="G108" s="788"/>
      <c r="H108" s="788"/>
      <c r="I108" s="767"/>
      <c r="J108" s="767"/>
      <c r="K108" s="788"/>
      <c r="L108" s="767"/>
      <c r="M108" s="797"/>
      <c r="O108" s="785"/>
      <c r="P108" s="785"/>
    </row>
    <row r="109" spans="1:16" s="790" customFormat="1" ht="12.75" x14ac:dyDescent="0.2">
      <c r="A109" s="829" t="s">
        <v>482</v>
      </c>
      <c r="B109" s="766">
        <v>89</v>
      </c>
      <c r="C109" s="766">
        <v>180</v>
      </c>
      <c r="D109" s="766">
        <v>852</v>
      </c>
      <c r="E109" s="791" t="s">
        <v>382</v>
      </c>
      <c r="F109" s="767">
        <v>0</v>
      </c>
      <c r="G109" s="792">
        <v>178</v>
      </c>
      <c r="H109" s="792">
        <v>566</v>
      </c>
      <c r="I109" s="767">
        <v>0</v>
      </c>
      <c r="J109" s="767">
        <v>0</v>
      </c>
      <c r="K109" s="792">
        <v>25</v>
      </c>
      <c r="L109" s="767">
        <v>719</v>
      </c>
      <c r="M109" s="793">
        <v>37.47</v>
      </c>
      <c r="O109" s="785" t="s">
        <v>479</v>
      </c>
      <c r="P109" s="785" t="s">
        <v>470</v>
      </c>
    </row>
    <row r="110" spans="1:16" s="790" customFormat="1" ht="12.75" x14ac:dyDescent="0.2">
      <c r="A110" s="829" t="s">
        <v>482</v>
      </c>
      <c r="B110" s="766">
        <v>89</v>
      </c>
      <c r="C110" s="766">
        <v>180</v>
      </c>
      <c r="D110" s="766">
        <v>852</v>
      </c>
      <c r="E110" s="831">
        <v>4</v>
      </c>
      <c r="F110" s="767">
        <v>0</v>
      </c>
      <c r="G110" s="788">
        <v>5</v>
      </c>
      <c r="H110" s="788">
        <v>0</v>
      </c>
      <c r="I110" s="767">
        <v>0</v>
      </c>
      <c r="J110" s="767">
        <v>0</v>
      </c>
      <c r="K110" s="788">
        <v>0</v>
      </c>
      <c r="L110" s="767">
        <v>5</v>
      </c>
      <c r="M110" s="797">
        <v>0.21</v>
      </c>
      <c r="O110" s="785" t="s">
        <v>479</v>
      </c>
      <c r="P110" s="785" t="s">
        <v>470</v>
      </c>
    </row>
    <row r="111" spans="1:16" s="790" customFormat="1" ht="12.75" x14ac:dyDescent="0.2">
      <c r="A111" s="829" t="s">
        <v>483</v>
      </c>
      <c r="B111" s="766">
        <v>89</v>
      </c>
      <c r="C111" s="766">
        <v>180</v>
      </c>
      <c r="D111" s="766">
        <v>854</v>
      </c>
      <c r="E111" s="791" t="s">
        <v>382</v>
      </c>
      <c r="F111" s="767">
        <v>0</v>
      </c>
      <c r="G111" s="792">
        <v>2</v>
      </c>
      <c r="H111" s="792">
        <v>29</v>
      </c>
      <c r="I111" s="767">
        <v>0</v>
      </c>
      <c r="J111" s="767">
        <v>0</v>
      </c>
      <c r="K111" s="792">
        <v>0</v>
      </c>
      <c r="L111" s="767">
        <v>31</v>
      </c>
      <c r="M111" s="793">
        <v>1.69</v>
      </c>
      <c r="O111" s="785" t="s">
        <v>479</v>
      </c>
      <c r="P111" s="785" t="s">
        <v>474</v>
      </c>
    </row>
    <row r="112" spans="1:16" s="790" customFormat="1" ht="12.75" x14ac:dyDescent="0.2">
      <c r="A112" s="829" t="s">
        <v>483</v>
      </c>
      <c r="B112" s="766">
        <v>89</v>
      </c>
      <c r="C112" s="766">
        <v>180</v>
      </c>
      <c r="D112" s="766">
        <v>854</v>
      </c>
      <c r="E112" s="831">
        <v>4</v>
      </c>
      <c r="F112" s="767">
        <v>0</v>
      </c>
      <c r="G112" s="788">
        <v>1</v>
      </c>
      <c r="H112" s="788">
        <v>0</v>
      </c>
      <c r="I112" s="767">
        <v>0</v>
      </c>
      <c r="J112" s="767">
        <v>0</v>
      </c>
      <c r="K112" s="788">
        <v>0</v>
      </c>
      <c r="L112" s="767">
        <v>1</v>
      </c>
      <c r="M112" s="797">
        <v>0.04</v>
      </c>
      <c r="O112" s="785" t="s">
        <v>479</v>
      </c>
      <c r="P112" s="785" t="s">
        <v>474</v>
      </c>
    </row>
    <row r="113" spans="1:16" s="753" customFormat="1" ht="15" customHeight="1" x14ac:dyDescent="0.2">
      <c r="A113" s="753" t="s">
        <v>484</v>
      </c>
      <c r="B113" s="766">
        <v>89</v>
      </c>
      <c r="C113" s="766">
        <v>405</v>
      </c>
      <c r="D113" s="766">
        <v>850</v>
      </c>
      <c r="E113" s="753" t="s">
        <v>382</v>
      </c>
      <c r="F113" s="754">
        <v>1949</v>
      </c>
      <c r="G113" s="754">
        <v>0</v>
      </c>
      <c r="H113" s="754">
        <v>0</v>
      </c>
      <c r="I113" s="754">
        <v>0</v>
      </c>
      <c r="J113" s="754">
        <v>0</v>
      </c>
      <c r="K113" s="754">
        <v>0</v>
      </c>
      <c r="L113" s="754">
        <v>1949</v>
      </c>
      <c r="M113" s="775">
        <v>64.97</v>
      </c>
      <c r="O113" s="753" t="s">
        <v>485</v>
      </c>
      <c r="P113" s="753" t="s">
        <v>468</v>
      </c>
    </row>
    <row r="114" spans="1:16" s="753" customFormat="1" ht="15" customHeight="1" x14ac:dyDescent="0.2">
      <c r="A114" s="753" t="s">
        <v>486</v>
      </c>
      <c r="B114" s="766">
        <v>89</v>
      </c>
      <c r="C114" s="766">
        <v>79</v>
      </c>
      <c r="D114" s="766" t="s">
        <v>382</v>
      </c>
      <c r="E114" s="773" t="s">
        <v>382</v>
      </c>
      <c r="F114" s="774">
        <v>8514</v>
      </c>
      <c r="G114" s="774">
        <v>2005</v>
      </c>
      <c r="H114" s="754">
        <v>0</v>
      </c>
      <c r="I114" s="754">
        <v>0</v>
      </c>
      <c r="J114" s="754">
        <v>0</v>
      </c>
      <c r="K114" s="754">
        <v>0</v>
      </c>
      <c r="L114" s="754">
        <v>10519</v>
      </c>
      <c r="M114" s="775">
        <v>367.34</v>
      </c>
      <c r="O114" s="753" t="s">
        <v>487</v>
      </c>
      <c r="P114" s="753" t="s">
        <v>384</v>
      </c>
    </row>
    <row r="115" spans="1:16" s="753" customFormat="1" ht="15" customHeight="1" x14ac:dyDescent="0.2">
      <c r="A115" s="753" t="s">
        <v>486</v>
      </c>
      <c r="B115" s="766">
        <v>89</v>
      </c>
      <c r="C115" s="766">
        <v>79</v>
      </c>
      <c r="D115" s="766" t="s">
        <v>382</v>
      </c>
      <c r="E115" s="779">
        <v>4</v>
      </c>
      <c r="F115" s="780">
        <v>3</v>
      </c>
      <c r="G115" s="780">
        <v>3</v>
      </c>
      <c r="H115" s="754">
        <v>0</v>
      </c>
      <c r="I115" s="754">
        <v>0</v>
      </c>
      <c r="J115" s="754">
        <v>0</v>
      </c>
      <c r="K115" s="754">
        <v>0</v>
      </c>
      <c r="L115" s="754">
        <v>6</v>
      </c>
      <c r="M115" s="778">
        <v>0.23</v>
      </c>
      <c r="O115" s="753" t="s">
        <v>487</v>
      </c>
      <c r="P115" s="753" t="s">
        <v>384</v>
      </c>
    </row>
    <row r="116" spans="1:16" s="753" customFormat="1" ht="15" customHeight="1" x14ac:dyDescent="0.2">
      <c r="A116" s="753" t="s">
        <v>488</v>
      </c>
      <c r="B116" s="766">
        <v>89</v>
      </c>
      <c r="C116" s="766">
        <v>79</v>
      </c>
      <c r="D116" s="766">
        <v>853</v>
      </c>
      <c r="E116" s="753" t="s">
        <v>382</v>
      </c>
      <c r="F116" s="754">
        <v>3352</v>
      </c>
      <c r="G116" s="754">
        <v>0</v>
      </c>
      <c r="H116" s="754">
        <v>0</v>
      </c>
      <c r="I116" s="754">
        <v>0</v>
      </c>
      <c r="J116" s="754">
        <v>0</v>
      </c>
      <c r="K116" s="754">
        <v>0</v>
      </c>
      <c r="L116" s="754">
        <v>3352</v>
      </c>
      <c r="M116" s="778">
        <v>111.73</v>
      </c>
      <c r="O116" s="753" t="s">
        <v>487</v>
      </c>
      <c r="P116" s="753" t="s">
        <v>472</v>
      </c>
    </row>
    <row r="117" spans="1:16" s="753" customFormat="1" ht="15" customHeight="1" x14ac:dyDescent="0.2">
      <c r="A117" s="753" t="s">
        <v>489</v>
      </c>
      <c r="B117" s="766">
        <v>89</v>
      </c>
      <c r="C117" s="766">
        <v>79</v>
      </c>
      <c r="D117" s="766">
        <v>857</v>
      </c>
      <c r="E117" s="753" t="s">
        <v>382</v>
      </c>
      <c r="F117" s="754">
        <v>0</v>
      </c>
      <c r="G117" s="754">
        <v>0</v>
      </c>
      <c r="H117" s="754">
        <v>0</v>
      </c>
      <c r="I117" s="754">
        <v>0</v>
      </c>
      <c r="J117" s="754">
        <v>0</v>
      </c>
      <c r="K117" s="754">
        <v>0</v>
      </c>
      <c r="L117" s="754">
        <v>0</v>
      </c>
      <c r="M117" s="781">
        <v>0</v>
      </c>
      <c r="O117" s="753" t="s">
        <v>487</v>
      </c>
      <c r="P117" s="753" t="s">
        <v>490</v>
      </c>
    </row>
    <row r="118" spans="1:16" s="753" customFormat="1" ht="15" customHeight="1" x14ac:dyDescent="0.2">
      <c r="A118" s="753" t="s">
        <v>491</v>
      </c>
      <c r="B118" s="766">
        <v>89</v>
      </c>
      <c r="C118" s="766">
        <v>88</v>
      </c>
      <c r="D118" s="766" t="s">
        <v>382</v>
      </c>
      <c r="E118" s="773" t="s">
        <v>382</v>
      </c>
      <c r="F118" s="754">
        <v>0</v>
      </c>
      <c r="G118" s="774">
        <v>6136</v>
      </c>
      <c r="H118" s="754">
        <v>0</v>
      </c>
      <c r="I118" s="754">
        <v>0</v>
      </c>
      <c r="J118" s="754">
        <v>0</v>
      </c>
      <c r="K118" s="754">
        <v>0</v>
      </c>
      <c r="L118" s="754">
        <v>6136</v>
      </c>
      <c r="M118" s="775">
        <v>255.67</v>
      </c>
      <c r="O118" s="753" t="s">
        <v>492</v>
      </c>
      <c r="P118" s="753" t="s">
        <v>384</v>
      </c>
    </row>
    <row r="119" spans="1:16" s="753" customFormat="1" ht="15" customHeight="1" x14ac:dyDescent="0.2">
      <c r="A119" s="753" t="s">
        <v>493</v>
      </c>
      <c r="B119" s="766">
        <v>89</v>
      </c>
      <c r="C119" s="766">
        <v>88</v>
      </c>
      <c r="D119" s="766" t="s">
        <v>382</v>
      </c>
      <c r="E119" s="779">
        <v>1</v>
      </c>
      <c r="F119" s="754"/>
      <c r="G119" s="780"/>
      <c r="H119" s="754"/>
      <c r="I119" s="754"/>
      <c r="J119" s="754"/>
      <c r="K119" s="754"/>
      <c r="L119" s="754"/>
      <c r="M119" s="778"/>
    </row>
    <row r="120" spans="1:16" s="753" customFormat="1" ht="15" customHeight="1" x14ac:dyDescent="0.2">
      <c r="A120" s="753" t="s">
        <v>494</v>
      </c>
      <c r="B120" s="766">
        <v>89</v>
      </c>
      <c r="C120" s="766">
        <v>88</v>
      </c>
      <c r="D120" s="766">
        <v>856</v>
      </c>
      <c r="E120" s="773" t="s">
        <v>382</v>
      </c>
      <c r="F120" s="754">
        <v>0</v>
      </c>
      <c r="G120" s="774">
        <v>10073</v>
      </c>
      <c r="H120" s="754">
        <v>0</v>
      </c>
      <c r="I120" s="754">
        <v>0</v>
      </c>
      <c r="J120" s="754">
        <v>0</v>
      </c>
      <c r="K120" s="754">
        <v>0</v>
      </c>
      <c r="L120" s="754">
        <v>10073</v>
      </c>
      <c r="M120" s="778">
        <v>419.71</v>
      </c>
      <c r="O120" s="753" t="s">
        <v>492</v>
      </c>
      <c r="P120" s="753" t="s">
        <v>495</v>
      </c>
    </row>
    <row r="121" spans="1:16" s="753" customFormat="1" ht="15" customHeight="1" x14ac:dyDescent="0.2">
      <c r="A121" s="753" t="s">
        <v>496</v>
      </c>
      <c r="B121" s="766">
        <v>89</v>
      </c>
      <c r="C121" s="766">
        <v>88</v>
      </c>
      <c r="D121" s="766">
        <v>856</v>
      </c>
      <c r="E121" s="779">
        <v>1</v>
      </c>
      <c r="F121" s="754"/>
      <c r="G121" s="780"/>
      <c r="H121" s="754"/>
      <c r="I121" s="754"/>
      <c r="J121" s="754"/>
      <c r="K121" s="754"/>
      <c r="L121" s="754"/>
      <c r="M121" s="778"/>
    </row>
    <row r="122" spans="1:16" s="753" customFormat="1" ht="15" customHeight="1" x14ac:dyDescent="0.2">
      <c r="A122" s="753" t="s">
        <v>497</v>
      </c>
      <c r="B122" s="766">
        <v>89</v>
      </c>
      <c r="C122" s="766">
        <v>87</v>
      </c>
      <c r="D122" s="766" t="s">
        <v>382</v>
      </c>
      <c r="E122" s="773" t="s">
        <v>382</v>
      </c>
      <c r="F122" s="774">
        <v>11102</v>
      </c>
      <c r="G122" s="774">
        <v>6911</v>
      </c>
      <c r="H122" s="774">
        <v>922</v>
      </c>
      <c r="I122" s="754">
        <v>0</v>
      </c>
      <c r="J122" s="754">
        <v>0</v>
      </c>
      <c r="K122" s="754">
        <v>0</v>
      </c>
      <c r="L122" s="754">
        <v>18935</v>
      </c>
      <c r="M122" s="775">
        <v>709.25</v>
      </c>
      <c r="O122" s="753" t="s">
        <v>498</v>
      </c>
      <c r="P122" s="753" t="s">
        <v>384</v>
      </c>
    </row>
    <row r="123" spans="1:16" s="753" customFormat="1" ht="15" customHeight="1" x14ac:dyDescent="0.2">
      <c r="A123" s="753" t="s">
        <v>497</v>
      </c>
      <c r="B123" s="766">
        <v>89</v>
      </c>
      <c r="C123" s="766">
        <v>87</v>
      </c>
      <c r="D123" s="766" t="s">
        <v>382</v>
      </c>
      <c r="E123" s="779">
        <v>4</v>
      </c>
      <c r="F123" s="780">
        <v>5732</v>
      </c>
      <c r="G123" s="780">
        <v>449</v>
      </c>
      <c r="H123" s="780">
        <v>0</v>
      </c>
      <c r="I123" s="754">
        <v>0</v>
      </c>
      <c r="J123" s="754">
        <v>0</v>
      </c>
      <c r="K123" s="754">
        <v>0</v>
      </c>
      <c r="L123" s="754">
        <v>6181</v>
      </c>
      <c r="M123" s="806">
        <v>209.78</v>
      </c>
      <c r="O123" s="753" t="s">
        <v>498</v>
      </c>
      <c r="P123" s="753" t="s">
        <v>384</v>
      </c>
    </row>
    <row r="124" spans="1:16" x14ac:dyDescent="0.25">
      <c r="A124" s="825" t="s">
        <v>499</v>
      </c>
      <c r="B124" s="766">
        <v>89</v>
      </c>
      <c r="C124" s="766">
        <v>87</v>
      </c>
      <c r="D124" s="766">
        <v>850</v>
      </c>
      <c r="E124" s="825" t="s">
        <v>382</v>
      </c>
      <c r="F124" s="771">
        <v>0</v>
      </c>
      <c r="G124" s="771">
        <v>0</v>
      </c>
      <c r="H124" s="771">
        <v>0</v>
      </c>
      <c r="I124" s="771">
        <v>0</v>
      </c>
      <c r="J124" s="771">
        <v>0</v>
      </c>
      <c r="K124" s="771">
        <v>0</v>
      </c>
      <c r="L124" s="771">
        <v>0</v>
      </c>
      <c r="M124" s="804">
        <v>0</v>
      </c>
      <c r="O124" s="825" t="s">
        <v>498</v>
      </c>
      <c r="P124" s="825" t="s">
        <v>468</v>
      </c>
    </row>
    <row r="125" spans="1:16" s="753" customFormat="1" ht="15" customHeight="1" x14ac:dyDescent="0.2">
      <c r="A125" s="832" t="s">
        <v>500</v>
      </c>
      <c r="B125" s="766">
        <v>89</v>
      </c>
      <c r="C125" s="766">
        <v>87</v>
      </c>
      <c r="D125" s="766">
        <v>851</v>
      </c>
      <c r="E125" s="753" t="s">
        <v>382</v>
      </c>
      <c r="F125" s="754">
        <v>0</v>
      </c>
      <c r="G125" s="754">
        <v>0</v>
      </c>
      <c r="H125" s="754">
        <v>0</v>
      </c>
      <c r="I125" s="754">
        <v>0</v>
      </c>
      <c r="J125" s="754">
        <v>0</v>
      </c>
      <c r="K125" s="754">
        <v>0</v>
      </c>
      <c r="L125" s="754">
        <v>0</v>
      </c>
      <c r="M125" s="805">
        <v>0</v>
      </c>
      <c r="O125" s="753" t="s">
        <v>498</v>
      </c>
      <c r="P125" s="753" t="s">
        <v>501</v>
      </c>
    </row>
    <row r="126" spans="1:16" s="753" customFormat="1" ht="15" customHeight="1" x14ac:dyDescent="0.2">
      <c r="A126" s="753" t="s">
        <v>502</v>
      </c>
      <c r="B126" s="766">
        <v>89</v>
      </c>
      <c r="C126" s="766">
        <v>87</v>
      </c>
      <c r="D126" s="766">
        <v>852</v>
      </c>
      <c r="E126" s="753" t="s">
        <v>382</v>
      </c>
      <c r="F126" s="754">
        <v>0</v>
      </c>
      <c r="G126" s="754">
        <v>520</v>
      </c>
      <c r="H126" s="754">
        <v>0</v>
      </c>
      <c r="I126" s="754">
        <v>0</v>
      </c>
      <c r="J126" s="754">
        <v>0</v>
      </c>
      <c r="K126" s="754">
        <v>0</v>
      </c>
      <c r="L126" s="754">
        <v>520</v>
      </c>
      <c r="M126" s="805">
        <v>21.67</v>
      </c>
      <c r="O126" s="753" t="s">
        <v>498</v>
      </c>
      <c r="P126" s="753" t="s">
        <v>470</v>
      </c>
    </row>
    <row r="127" spans="1:16" s="790" customFormat="1" ht="12.75" x14ac:dyDescent="0.2">
      <c r="A127" s="753" t="s">
        <v>503</v>
      </c>
      <c r="B127" s="766">
        <v>89</v>
      </c>
      <c r="C127" s="766">
        <v>87</v>
      </c>
      <c r="D127" s="766">
        <v>853</v>
      </c>
      <c r="E127" s="785" t="s">
        <v>382</v>
      </c>
      <c r="F127" s="767">
        <v>0</v>
      </c>
      <c r="G127" s="767">
        <v>0</v>
      </c>
      <c r="H127" s="767">
        <v>0</v>
      </c>
      <c r="I127" s="767">
        <v>0</v>
      </c>
      <c r="J127" s="767">
        <v>0</v>
      </c>
      <c r="K127" s="767">
        <v>0</v>
      </c>
      <c r="L127" s="767">
        <v>0</v>
      </c>
      <c r="M127" s="789">
        <v>0</v>
      </c>
      <c r="O127" s="785" t="s">
        <v>498</v>
      </c>
      <c r="P127" s="785" t="s">
        <v>472</v>
      </c>
    </row>
    <row r="128" spans="1:16" s="790" customFormat="1" ht="12.75" x14ac:dyDescent="0.2">
      <c r="A128" s="753" t="s">
        <v>504</v>
      </c>
      <c r="B128" s="766">
        <v>89</v>
      </c>
      <c r="C128" s="766">
        <v>87</v>
      </c>
      <c r="D128" s="766">
        <v>854</v>
      </c>
      <c r="E128" s="785" t="s">
        <v>382</v>
      </c>
      <c r="F128" s="767">
        <v>0</v>
      </c>
      <c r="G128" s="767">
        <v>0</v>
      </c>
      <c r="H128" s="767">
        <v>0</v>
      </c>
      <c r="I128" s="767">
        <v>0</v>
      </c>
      <c r="J128" s="767">
        <v>0</v>
      </c>
      <c r="K128" s="767">
        <v>0</v>
      </c>
      <c r="L128" s="767">
        <v>0</v>
      </c>
      <c r="M128" s="789">
        <v>0</v>
      </c>
      <c r="O128" s="785" t="s">
        <v>498</v>
      </c>
      <c r="P128" s="785" t="s">
        <v>474</v>
      </c>
    </row>
    <row r="129" spans="1:16" s="753" customFormat="1" ht="15" customHeight="1" x14ac:dyDescent="0.2">
      <c r="A129" s="753" t="s">
        <v>505</v>
      </c>
      <c r="B129" s="766">
        <v>89</v>
      </c>
      <c r="C129" s="766">
        <v>87</v>
      </c>
      <c r="D129" s="766">
        <v>857</v>
      </c>
      <c r="E129" s="773" t="s">
        <v>382</v>
      </c>
      <c r="F129" s="774">
        <v>335</v>
      </c>
      <c r="G129" s="774">
        <v>45</v>
      </c>
      <c r="H129" s="754">
        <v>0</v>
      </c>
      <c r="I129" s="754">
        <v>0</v>
      </c>
      <c r="J129" s="754">
        <v>0</v>
      </c>
      <c r="K129" s="754">
        <v>0</v>
      </c>
      <c r="L129" s="754">
        <v>380</v>
      </c>
      <c r="M129" s="784">
        <v>13.04</v>
      </c>
      <c r="O129" s="753" t="s">
        <v>498</v>
      </c>
      <c r="P129" s="753" t="s">
        <v>490</v>
      </c>
    </row>
    <row r="130" spans="1:16" s="753" customFormat="1" ht="15" customHeight="1" x14ac:dyDescent="0.2">
      <c r="A130" s="753" t="s">
        <v>505</v>
      </c>
      <c r="B130" s="766">
        <v>89</v>
      </c>
      <c r="C130" s="766">
        <v>87</v>
      </c>
      <c r="D130" s="766">
        <v>857</v>
      </c>
      <c r="E130" s="779">
        <v>4</v>
      </c>
      <c r="F130" s="780">
        <v>426</v>
      </c>
      <c r="G130" s="780">
        <v>0</v>
      </c>
      <c r="H130" s="754">
        <v>0</v>
      </c>
      <c r="I130" s="754">
        <v>0</v>
      </c>
      <c r="J130" s="754">
        <v>0</v>
      </c>
      <c r="K130" s="754">
        <v>0</v>
      </c>
      <c r="L130" s="754">
        <v>426</v>
      </c>
      <c r="M130" s="806">
        <v>14.2</v>
      </c>
      <c r="O130" s="753" t="s">
        <v>498</v>
      </c>
      <c r="P130" s="753" t="s">
        <v>490</v>
      </c>
    </row>
    <row r="131" spans="1:16" s="753" customFormat="1" ht="15" customHeight="1" x14ac:dyDescent="0.2">
      <c r="A131" s="753" t="s">
        <v>464</v>
      </c>
      <c r="B131" s="766"/>
      <c r="C131" s="766"/>
      <c r="D131" s="766"/>
      <c r="F131" s="754"/>
      <c r="G131" s="754"/>
      <c r="H131" s="754"/>
      <c r="I131" s="754"/>
      <c r="J131" s="754"/>
      <c r="K131" s="754"/>
      <c r="L131" s="754"/>
      <c r="M131" s="754"/>
    </row>
    <row r="132" spans="1:16" s="753" customFormat="1" ht="15" customHeight="1" x14ac:dyDescent="0.25">
      <c r="A132" s="753" t="s">
        <v>389</v>
      </c>
      <c r="B132" s="766">
        <v>89</v>
      </c>
      <c r="C132" s="766" t="s">
        <v>382</v>
      </c>
      <c r="D132" s="766" t="s">
        <v>382</v>
      </c>
      <c r="E132" s="753" t="s">
        <v>382</v>
      </c>
      <c r="F132" s="771">
        <v>31413</v>
      </c>
      <c r="G132" s="771">
        <v>27259</v>
      </c>
      <c r="H132" s="771">
        <v>2549</v>
      </c>
      <c r="I132" s="771">
        <v>998</v>
      </c>
      <c r="J132" s="771">
        <v>91</v>
      </c>
      <c r="K132" s="771">
        <v>71</v>
      </c>
      <c r="L132" s="771">
        <v>61150</v>
      </c>
      <c r="M132" s="782">
        <f>SUM(M97:M131)</f>
        <v>3409.57</v>
      </c>
    </row>
    <row r="133" spans="1:16" x14ac:dyDescent="0.25">
      <c r="B133" s="770"/>
      <c r="C133" s="770"/>
      <c r="D133" s="770"/>
    </row>
    <row r="134" spans="1:16" x14ac:dyDescent="0.25">
      <c r="B134" s="770"/>
      <c r="C134" s="770"/>
      <c r="D134" s="770"/>
    </row>
    <row r="135" spans="1:16" s="753" customFormat="1" ht="15" customHeight="1" x14ac:dyDescent="0.25">
      <c r="A135" s="752" t="s">
        <v>506</v>
      </c>
      <c r="B135" s="752"/>
      <c r="C135" s="752"/>
      <c r="D135" s="752"/>
      <c r="E135" s="752"/>
      <c r="G135" s="754"/>
      <c r="H135" s="754"/>
      <c r="I135" s="754"/>
      <c r="J135" s="754"/>
      <c r="K135" s="755"/>
      <c r="L135" s="754"/>
      <c r="M135" s="754"/>
    </row>
    <row r="136" spans="1:16" s="753" customFormat="1" ht="15" customHeight="1" x14ac:dyDescent="0.2">
      <c r="A136" s="753" t="s">
        <v>507</v>
      </c>
      <c r="B136" s="766">
        <v>130</v>
      </c>
      <c r="C136" s="766">
        <v>9768</v>
      </c>
      <c r="D136" s="766" t="s">
        <v>382</v>
      </c>
      <c r="E136" s="753" t="s">
        <v>382</v>
      </c>
      <c r="F136" s="754">
        <v>0</v>
      </c>
      <c r="G136" s="754">
        <v>0</v>
      </c>
      <c r="H136" s="754">
        <v>0</v>
      </c>
      <c r="I136" s="754">
        <v>945</v>
      </c>
      <c r="J136" s="754">
        <v>0</v>
      </c>
      <c r="K136" s="754">
        <v>0</v>
      </c>
      <c r="L136" s="754">
        <v>0</v>
      </c>
      <c r="M136" s="675">
        <v>945</v>
      </c>
      <c r="O136" s="753" t="s">
        <v>508</v>
      </c>
      <c r="P136" s="753" t="s">
        <v>384</v>
      </c>
    </row>
    <row r="137" spans="1:16" s="753" customFormat="1" ht="15" customHeight="1" x14ac:dyDescent="0.2">
      <c r="A137" s="753" t="s">
        <v>509</v>
      </c>
      <c r="B137" s="766">
        <v>130</v>
      </c>
      <c r="C137" s="766">
        <v>131</v>
      </c>
      <c r="D137" s="766" t="s">
        <v>382</v>
      </c>
      <c r="E137" s="773" t="s">
        <v>382</v>
      </c>
      <c r="F137" s="754">
        <v>0</v>
      </c>
      <c r="G137" s="774">
        <v>11453</v>
      </c>
      <c r="H137" s="774">
        <v>1751</v>
      </c>
      <c r="I137" s="754">
        <v>0</v>
      </c>
      <c r="J137" s="754">
        <v>0</v>
      </c>
      <c r="K137" s="774">
        <v>84</v>
      </c>
      <c r="L137" s="754">
        <v>13120</v>
      </c>
      <c r="M137" s="775">
        <v>569.82000000000005</v>
      </c>
      <c r="O137" s="753" t="s">
        <v>510</v>
      </c>
      <c r="P137" s="753" t="s">
        <v>384</v>
      </c>
    </row>
    <row r="138" spans="1:16" s="753" customFormat="1" ht="15" customHeight="1" x14ac:dyDescent="0.2">
      <c r="A138" s="753" t="s">
        <v>509</v>
      </c>
      <c r="B138" s="766">
        <v>130</v>
      </c>
      <c r="C138" s="766">
        <v>131</v>
      </c>
      <c r="D138" s="766" t="s">
        <v>382</v>
      </c>
      <c r="E138" s="779">
        <v>2</v>
      </c>
      <c r="F138" s="754">
        <v>0</v>
      </c>
      <c r="G138" s="780">
        <v>5</v>
      </c>
      <c r="H138" s="780">
        <v>156</v>
      </c>
      <c r="I138" s="754">
        <v>0</v>
      </c>
      <c r="J138" s="754">
        <v>0</v>
      </c>
      <c r="K138" s="780">
        <v>3</v>
      </c>
      <c r="L138" s="754">
        <v>158</v>
      </c>
      <c r="M138" s="781">
        <v>8.7100000000000009</v>
      </c>
      <c r="O138" s="753" t="s">
        <v>510</v>
      </c>
      <c r="P138" s="753" t="s">
        <v>384</v>
      </c>
    </row>
    <row r="139" spans="1:16" s="753" customFormat="1" ht="15" customHeight="1" x14ac:dyDescent="0.2">
      <c r="A139" s="753" t="s">
        <v>511</v>
      </c>
      <c r="B139" s="766">
        <v>130</v>
      </c>
      <c r="C139" s="766">
        <v>133</v>
      </c>
      <c r="D139" s="766" t="s">
        <v>382</v>
      </c>
      <c r="E139" s="833" t="s">
        <v>382</v>
      </c>
      <c r="F139" s="754">
        <v>0</v>
      </c>
      <c r="G139" s="774">
        <v>14287</v>
      </c>
      <c r="H139" s="754">
        <v>0</v>
      </c>
      <c r="I139" s="754">
        <v>0</v>
      </c>
      <c r="J139" s="754">
        <v>0</v>
      </c>
      <c r="K139" s="754">
        <v>0</v>
      </c>
      <c r="L139" s="754">
        <v>14287</v>
      </c>
      <c r="M139" s="775">
        <v>595.29</v>
      </c>
      <c r="O139" s="753" t="s">
        <v>512</v>
      </c>
      <c r="P139" s="753" t="s">
        <v>384</v>
      </c>
    </row>
    <row r="140" spans="1:16" s="753" customFormat="1" ht="15" customHeight="1" x14ac:dyDescent="0.2">
      <c r="A140" s="753" t="s">
        <v>511</v>
      </c>
      <c r="B140" s="766">
        <v>130</v>
      </c>
      <c r="C140" s="766">
        <v>133</v>
      </c>
      <c r="D140" s="766" t="s">
        <v>382</v>
      </c>
      <c r="E140" s="779">
        <v>1</v>
      </c>
      <c r="F140" s="754">
        <v>0</v>
      </c>
      <c r="G140" s="777">
        <v>217</v>
      </c>
      <c r="H140" s="754">
        <v>0</v>
      </c>
      <c r="I140" s="754">
        <v>0</v>
      </c>
      <c r="J140" s="754">
        <v>0</v>
      </c>
      <c r="K140" s="754">
        <v>0</v>
      </c>
      <c r="L140" s="754">
        <v>217</v>
      </c>
      <c r="M140" s="781">
        <v>9.0399999999999991</v>
      </c>
      <c r="O140" s="753" t="s">
        <v>512</v>
      </c>
      <c r="P140" s="753" t="s">
        <v>384</v>
      </c>
    </row>
    <row r="141" spans="1:16" s="753" customFormat="1" ht="15" customHeight="1" x14ac:dyDescent="0.2">
      <c r="A141" s="753" t="s">
        <v>513</v>
      </c>
      <c r="B141" s="766">
        <v>130</v>
      </c>
      <c r="C141" s="766">
        <v>136</v>
      </c>
      <c r="D141" s="766" t="s">
        <v>382</v>
      </c>
      <c r="E141" s="773" t="s">
        <v>382</v>
      </c>
      <c r="F141" s="754">
        <v>0</v>
      </c>
      <c r="G141" s="774">
        <v>14936</v>
      </c>
      <c r="H141" s="754">
        <v>0</v>
      </c>
      <c r="I141" s="754">
        <v>0</v>
      </c>
      <c r="J141" s="754">
        <v>0</v>
      </c>
      <c r="K141" s="754">
        <v>0</v>
      </c>
      <c r="L141" s="754">
        <v>14936</v>
      </c>
      <c r="M141" s="675">
        <v>622.33000000000004</v>
      </c>
      <c r="O141" s="753" t="s">
        <v>514</v>
      </c>
      <c r="P141" s="753" t="s">
        <v>384</v>
      </c>
    </row>
    <row r="142" spans="1:16" s="753" customFormat="1" ht="15" customHeight="1" x14ac:dyDescent="0.2">
      <c r="A142" s="753" t="s">
        <v>513</v>
      </c>
      <c r="B142" s="766">
        <v>130</v>
      </c>
      <c r="C142" s="766">
        <v>136</v>
      </c>
      <c r="D142" s="766" t="s">
        <v>382</v>
      </c>
      <c r="E142" s="779">
        <v>1</v>
      </c>
      <c r="F142" s="754">
        <v>0</v>
      </c>
      <c r="G142" s="780">
        <v>30</v>
      </c>
      <c r="H142" s="754">
        <v>0</v>
      </c>
      <c r="I142" s="754">
        <v>0</v>
      </c>
      <c r="J142" s="754">
        <v>0</v>
      </c>
      <c r="K142" s="754">
        <v>0</v>
      </c>
      <c r="L142" s="754">
        <v>30</v>
      </c>
      <c r="M142" s="675">
        <v>1.25</v>
      </c>
      <c r="O142" s="753" t="s">
        <v>514</v>
      </c>
      <c r="P142" s="753" t="s">
        <v>384</v>
      </c>
    </row>
    <row r="143" spans="1:16" s="838" customFormat="1" x14ac:dyDescent="0.25">
      <c r="A143" s="834" t="s">
        <v>515</v>
      </c>
      <c r="B143" s="834">
        <v>130</v>
      </c>
      <c r="C143" s="834">
        <v>134</v>
      </c>
      <c r="D143" s="834" t="s">
        <v>382</v>
      </c>
      <c r="E143" s="835" t="s">
        <v>382</v>
      </c>
      <c r="F143" s="836">
        <v>0</v>
      </c>
      <c r="G143" s="835">
        <v>2764</v>
      </c>
      <c r="H143" s="835">
        <v>167</v>
      </c>
      <c r="I143" s="836">
        <v>0</v>
      </c>
      <c r="J143" s="836">
        <v>0</v>
      </c>
      <c r="K143" s="836">
        <v>0</v>
      </c>
      <c r="L143" s="836">
        <v>2931</v>
      </c>
      <c r="M143" s="837">
        <v>124.45</v>
      </c>
      <c r="O143" s="838" t="s">
        <v>516</v>
      </c>
      <c r="P143" s="838" t="s">
        <v>384</v>
      </c>
    </row>
    <row r="144" spans="1:16" s="753" customFormat="1" ht="15" customHeight="1" x14ac:dyDescent="0.2">
      <c r="A144" s="753" t="s">
        <v>515</v>
      </c>
      <c r="B144" s="766">
        <v>130</v>
      </c>
      <c r="C144" s="766">
        <v>134</v>
      </c>
      <c r="D144" s="766" t="s">
        <v>382</v>
      </c>
      <c r="E144" s="776">
        <v>1</v>
      </c>
      <c r="F144" s="754">
        <v>0</v>
      </c>
      <c r="G144" s="776">
        <v>1438</v>
      </c>
      <c r="H144" s="776">
        <v>32</v>
      </c>
      <c r="I144" s="754">
        <v>0</v>
      </c>
      <c r="J144" s="754">
        <v>0</v>
      </c>
      <c r="K144" s="754">
        <v>0</v>
      </c>
      <c r="L144" s="754">
        <v>1470</v>
      </c>
      <c r="M144" s="776">
        <v>61.69</v>
      </c>
      <c r="O144" s="753" t="s">
        <v>516</v>
      </c>
      <c r="P144" s="753" t="s">
        <v>384</v>
      </c>
    </row>
    <row r="145" spans="1:16" s="753" customFormat="1" ht="15" customHeight="1" x14ac:dyDescent="0.2">
      <c r="A145" s="753" t="s">
        <v>515</v>
      </c>
      <c r="B145" s="766">
        <v>130</v>
      </c>
      <c r="C145" s="766">
        <v>134</v>
      </c>
      <c r="D145" s="766" t="s">
        <v>382</v>
      </c>
      <c r="E145" s="779">
        <v>2</v>
      </c>
      <c r="F145" s="754">
        <v>0</v>
      </c>
      <c r="G145" s="779">
        <v>145</v>
      </c>
      <c r="H145" s="779">
        <v>0</v>
      </c>
      <c r="I145" s="754">
        <v>0</v>
      </c>
      <c r="J145" s="754">
        <v>0</v>
      </c>
      <c r="K145" s="754">
        <v>0</v>
      </c>
      <c r="L145" s="754">
        <v>145</v>
      </c>
      <c r="M145" s="779">
        <v>6.04</v>
      </c>
      <c r="O145" s="753" t="s">
        <v>516</v>
      </c>
      <c r="P145" s="753" t="s">
        <v>384</v>
      </c>
    </row>
    <row r="146" spans="1:16" s="753" customFormat="1" ht="15" customHeight="1" x14ac:dyDescent="0.2">
      <c r="A146" s="753" t="s">
        <v>506</v>
      </c>
      <c r="B146" s="766"/>
      <c r="C146" s="766"/>
      <c r="D146" s="766"/>
      <c r="F146" s="754"/>
      <c r="G146" s="754"/>
      <c r="H146" s="754"/>
      <c r="I146" s="754"/>
      <c r="J146" s="754"/>
      <c r="K146" s="754"/>
      <c r="L146" s="754"/>
      <c r="M146" s="675"/>
    </row>
    <row r="147" spans="1:16" s="753" customFormat="1" ht="15" customHeight="1" x14ac:dyDescent="0.25">
      <c r="A147" s="839" t="s">
        <v>389</v>
      </c>
      <c r="B147" s="839">
        <v>130</v>
      </c>
      <c r="C147" s="839" t="s">
        <v>382</v>
      </c>
      <c r="D147" s="839" t="s">
        <v>382</v>
      </c>
      <c r="E147" s="839" t="s">
        <v>382</v>
      </c>
      <c r="F147" s="753">
        <v>0</v>
      </c>
      <c r="G147" s="754">
        <v>45275</v>
      </c>
      <c r="H147" s="754">
        <v>2106</v>
      </c>
      <c r="I147" s="754">
        <v>945</v>
      </c>
      <c r="J147" s="754">
        <v>0</v>
      </c>
      <c r="K147" s="755">
        <v>87</v>
      </c>
      <c r="L147" s="754">
        <v>47294</v>
      </c>
      <c r="M147" s="782">
        <f>SUM(M136:M146)</f>
        <v>2943.62</v>
      </c>
    </row>
    <row r="148" spans="1:16" x14ac:dyDescent="0.25">
      <c r="B148" s="770"/>
      <c r="C148" s="770"/>
      <c r="D148" s="770"/>
    </row>
    <row r="149" spans="1:16" x14ac:dyDescent="0.25">
      <c r="B149" s="770"/>
      <c r="C149" s="770"/>
      <c r="D149" s="770"/>
    </row>
    <row r="150" spans="1:16" s="753" customFormat="1" ht="15" customHeight="1" x14ac:dyDescent="0.25">
      <c r="A150" s="752" t="s">
        <v>517</v>
      </c>
      <c r="B150" s="752"/>
      <c r="C150" s="752"/>
      <c r="D150" s="752"/>
      <c r="E150" s="752"/>
      <c r="I150" s="754"/>
      <c r="J150" s="754"/>
      <c r="K150" s="755"/>
      <c r="L150" s="754"/>
      <c r="M150" s="754"/>
    </row>
    <row r="151" spans="1:16" s="753" customFormat="1" ht="15" customHeight="1" x14ac:dyDescent="0.25">
      <c r="A151" s="753" t="s">
        <v>518</v>
      </c>
      <c r="B151" s="766">
        <v>412</v>
      </c>
      <c r="C151" s="766">
        <v>10674</v>
      </c>
      <c r="D151" s="766" t="s">
        <v>382</v>
      </c>
      <c r="E151" s="790" t="s">
        <v>382</v>
      </c>
      <c r="F151" s="840">
        <v>0</v>
      </c>
      <c r="G151" s="840">
        <v>0</v>
      </c>
      <c r="H151" s="840">
        <v>0</v>
      </c>
      <c r="I151" s="840">
        <v>578</v>
      </c>
      <c r="J151" s="840">
        <v>0</v>
      </c>
      <c r="K151" s="840">
        <v>0</v>
      </c>
      <c r="L151" s="840">
        <v>0</v>
      </c>
      <c r="M151" s="841">
        <v>578</v>
      </c>
      <c r="O151" s="753" t="s">
        <v>519</v>
      </c>
      <c r="P151" s="753" t="s">
        <v>384</v>
      </c>
    </row>
    <row r="152" spans="1:16" s="753" customFormat="1" ht="15" customHeight="1" x14ac:dyDescent="0.25">
      <c r="A152" s="753" t="s">
        <v>520</v>
      </c>
      <c r="B152" s="766">
        <v>412</v>
      </c>
      <c r="C152" s="766">
        <v>10674</v>
      </c>
      <c r="D152" s="766">
        <v>860</v>
      </c>
      <c r="E152" s="790" t="s">
        <v>382</v>
      </c>
      <c r="F152" s="840">
        <v>0</v>
      </c>
      <c r="G152" s="840">
        <v>0</v>
      </c>
      <c r="H152" s="840">
        <v>0</v>
      </c>
      <c r="I152" s="840">
        <v>110</v>
      </c>
      <c r="J152" s="840">
        <v>0</v>
      </c>
      <c r="K152" s="840">
        <v>0</v>
      </c>
      <c r="L152" s="840">
        <v>0</v>
      </c>
      <c r="M152" s="842">
        <v>110</v>
      </c>
      <c r="O152" s="753" t="s">
        <v>519</v>
      </c>
      <c r="P152" s="753" t="s">
        <v>521</v>
      </c>
    </row>
    <row r="153" spans="1:16" s="753" customFormat="1" ht="15" customHeight="1" x14ac:dyDescent="0.25">
      <c r="A153" s="753" t="s">
        <v>522</v>
      </c>
      <c r="B153" s="766">
        <v>412</v>
      </c>
      <c r="C153" s="766">
        <v>418</v>
      </c>
      <c r="D153" s="766">
        <v>862</v>
      </c>
      <c r="E153" s="790" t="s">
        <v>382</v>
      </c>
      <c r="F153" s="840">
        <v>0</v>
      </c>
      <c r="G153" s="840">
        <v>0</v>
      </c>
      <c r="H153" s="840">
        <v>0</v>
      </c>
      <c r="I153" s="840">
        <v>0</v>
      </c>
      <c r="J153" s="840">
        <v>0</v>
      </c>
      <c r="K153" s="840">
        <v>0</v>
      </c>
      <c r="L153" s="840">
        <v>0</v>
      </c>
      <c r="M153" s="842">
        <v>0</v>
      </c>
      <c r="O153" s="753" t="s">
        <v>523</v>
      </c>
      <c r="P153" s="753" t="s">
        <v>524</v>
      </c>
    </row>
    <row r="154" spans="1:16" s="753" customFormat="1" ht="15" customHeight="1" x14ac:dyDescent="0.25">
      <c r="A154" s="753" t="s">
        <v>525</v>
      </c>
      <c r="B154" s="766">
        <v>412</v>
      </c>
      <c r="C154" s="766">
        <v>10674</v>
      </c>
      <c r="D154" s="766">
        <v>864</v>
      </c>
      <c r="E154" s="790" t="s">
        <v>382</v>
      </c>
      <c r="F154" s="840">
        <v>0</v>
      </c>
      <c r="G154" s="840">
        <v>0</v>
      </c>
      <c r="H154" s="840">
        <v>0</v>
      </c>
      <c r="I154" s="840">
        <v>49</v>
      </c>
      <c r="J154" s="840">
        <v>0</v>
      </c>
      <c r="K154" s="840">
        <v>0</v>
      </c>
      <c r="L154" s="840">
        <v>0</v>
      </c>
      <c r="M154" s="842">
        <v>49</v>
      </c>
      <c r="O154" s="753" t="s">
        <v>519</v>
      </c>
      <c r="P154" s="753" t="s">
        <v>526</v>
      </c>
    </row>
    <row r="155" spans="1:16" s="753" customFormat="1" ht="15" customHeight="1" x14ac:dyDescent="0.25">
      <c r="A155" s="753" t="s">
        <v>527</v>
      </c>
      <c r="B155" s="766">
        <v>412</v>
      </c>
      <c r="C155" s="766">
        <v>210674</v>
      </c>
      <c r="D155" s="766" t="s">
        <v>382</v>
      </c>
      <c r="E155" s="843" t="s">
        <v>382</v>
      </c>
      <c r="F155" s="840">
        <v>0</v>
      </c>
      <c r="G155" s="844">
        <v>1298</v>
      </c>
      <c r="H155" s="844">
        <v>1044</v>
      </c>
      <c r="I155" s="840">
        <v>0</v>
      </c>
      <c r="J155" s="840">
        <v>0</v>
      </c>
      <c r="K155" s="840">
        <v>6</v>
      </c>
      <c r="L155" s="840">
        <v>2336</v>
      </c>
      <c r="M155" s="845">
        <v>111.75</v>
      </c>
      <c r="N155" s="846"/>
      <c r="O155" s="753" t="s">
        <v>528</v>
      </c>
      <c r="P155" s="753" t="s">
        <v>384</v>
      </c>
    </row>
    <row r="156" spans="1:16" s="753" customFormat="1" ht="15" customHeight="1" x14ac:dyDescent="0.25">
      <c r="A156" s="753" t="s">
        <v>529</v>
      </c>
      <c r="B156" s="766">
        <v>412</v>
      </c>
      <c r="C156" s="766">
        <v>210674</v>
      </c>
      <c r="D156" s="766"/>
      <c r="E156" s="847">
        <v>4</v>
      </c>
      <c r="F156" s="840"/>
      <c r="G156" s="848"/>
      <c r="H156" s="848"/>
      <c r="I156" s="840"/>
      <c r="J156" s="840"/>
      <c r="K156" s="840"/>
      <c r="L156" s="840"/>
      <c r="M156" s="849"/>
      <c r="N156" s="846"/>
    </row>
    <row r="157" spans="1:16" s="753" customFormat="1" ht="15" customHeight="1" x14ac:dyDescent="0.25">
      <c r="A157" s="753" t="s">
        <v>530</v>
      </c>
      <c r="B157" s="766">
        <v>412</v>
      </c>
      <c r="C157" s="766">
        <v>210674</v>
      </c>
      <c r="D157" s="766">
        <v>422</v>
      </c>
      <c r="E157" s="850" t="s">
        <v>382</v>
      </c>
      <c r="F157" s="840">
        <v>0</v>
      </c>
      <c r="G157" s="840">
        <v>0</v>
      </c>
      <c r="H157" s="840">
        <v>0</v>
      </c>
      <c r="I157" s="840">
        <v>0</v>
      </c>
      <c r="J157" s="840">
        <v>0</v>
      </c>
      <c r="K157" s="840">
        <v>0</v>
      </c>
      <c r="L157" s="840">
        <v>0</v>
      </c>
      <c r="M157" s="851">
        <v>0</v>
      </c>
      <c r="N157" s="846"/>
      <c r="O157" s="753" t="s">
        <v>528</v>
      </c>
      <c r="P157" s="753" t="s">
        <v>524</v>
      </c>
    </row>
    <row r="158" spans="1:16" s="753" customFormat="1" ht="15" customHeight="1" x14ac:dyDescent="0.25">
      <c r="A158" s="753" t="s">
        <v>531</v>
      </c>
      <c r="B158" s="766">
        <v>412</v>
      </c>
      <c r="C158" s="766">
        <v>210674</v>
      </c>
      <c r="D158" s="766">
        <v>860</v>
      </c>
      <c r="E158" s="850" t="s">
        <v>382</v>
      </c>
      <c r="F158" s="840">
        <v>0</v>
      </c>
      <c r="G158" s="840">
        <v>74</v>
      </c>
      <c r="H158" s="840">
        <v>611</v>
      </c>
      <c r="I158" s="840">
        <v>0</v>
      </c>
      <c r="J158" s="840">
        <v>0</v>
      </c>
      <c r="K158" s="771">
        <v>11</v>
      </c>
      <c r="L158" s="771">
        <v>674</v>
      </c>
      <c r="M158" s="772">
        <v>36.42</v>
      </c>
      <c r="N158" s="846"/>
      <c r="O158" s="753" t="s">
        <v>528</v>
      </c>
      <c r="P158" s="753" t="s">
        <v>521</v>
      </c>
    </row>
    <row r="159" spans="1:16" s="753" customFormat="1" ht="15" customHeight="1" x14ac:dyDescent="0.25">
      <c r="A159" s="753" t="s">
        <v>532</v>
      </c>
      <c r="B159" s="766">
        <v>412</v>
      </c>
      <c r="C159" s="766">
        <v>210674</v>
      </c>
      <c r="D159" s="766">
        <v>861</v>
      </c>
      <c r="E159" s="850" t="s">
        <v>382</v>
      </c>
      <c r="F159" s="840">
        <v>0</v>
      </c>
      <c r="G159" s="840">
        <v>226</v>
      </c>
      <c r="H159" s="840">
        <v>240</v>
      </c>
      <c r="I159" s="840">
        <v>0</v>
      </c>
      <c r="J159" s="840">
        <v>0</v>
      </c>
      <c r="K159" s="840">
        <v>0</v>
      </c>
      <c r="L159" s="840">
        <v>466</v>
      </c>
      <c r="M159" s="852">
        <v>22.75</v>
      </c>
      <c r="N159" s="846"/>
      <c r="O159" s="753" t="s">
        <v>528</v>
      </c>
      <c r="P159" s="753" t="s">
        <v>533</v>
      </c>
    </row>
    <row r="160" spans="1:16" s="753" customFormat="1" ht="15" customHeight="1" x14ac:dyDescent="0.25">
      <c r="A160" s="753" t="s">
        <v>534</v>
      </c>
      <c r="B160" s="766">
        <v>412</v>
      </c>
      <c r="C160" s="766">
        <v>413</v>
      </c>
      <c r="D160" s="766" t="s">
        <v>382</v>
      </c>
      <c r="E160" s="843" t="s">
        <v>382</v>
      </c>
      <c r="F160" s="844">
        <v>9370</v>
      </c>
      <c r="G160" s="844">
        <v>24204</v>
      </c>
      <c r="H160" s="844">
        <v>2879</v>
      </c>
      <c r="I160" s="840">
        <v>0</v>
      </c>
      <c r="J160" s="840">
        <v>0</v>
      </c>
      <c r="K160" s="844">
        <v>0</v>
      </c>
      <c r="L160" s="840">
        <v>36453</v>
      </c>
      <c r="M160" s="853">
        <v>1480.78</v>
      </c>
      <c r="N160" s="846"/>
      <c r="O160" s="753" t="s">
        <v>535</v>
      </c>
      <c r="P160" s="753" t="s">
        <v>384</v>
      </c>
    </row>
    <row r="161" spans="1:16" s="753" customFormat="1" ht="15" customHeight="1" x14ac:dyDescent="0.25">
      <c r="A161" s="753" t="s">
        <v>534</v>
      </c>
      <c r="B161" s="766">
        <v>412</v>
      </c>
      <c r="C161" s="766">
        <v>413</v>
      </c>
      <c r="D161" s="766" t="s">
        <v>382</v>
      </c>
      <c r="E161" s="847">
        <v>1</v>
      </c>
      <c r="F161" s="848">
        <v>0</v>
      </c>
      <c r="G161" s="848">
        <v>3726</v>
      </c>
      <c r="H161" s="848">
        <v>0</v>
      </c>
      <c r="I161" s="840">
        <v>0</v>
      </c>
      <c r="J161" s="840">
        <v>0</v>
      </c>
      <c r="K161" s="848">
        <v>0</v>
      </c>
      <c r="L161" s="840">
        <v>3726</v>
      </c>
      <c r="M161" s="854">
        <v>155.25</v>
      </c>
      <c r="N161" s="846"/>
      <c r="O161" s="753" t="s">
        <v>535</v>
      </c>
      <c r="P161" s="753" t="s">
        <v>384</v>
      </c>
    </row>
    <row r="162" spans="1:16" s="753" customFormat="1" ht="15" customHeight="1" x14ac:dyDescent="0.25">
      <c r="A162" s="753" t="s">
        <v>536</v>
      </c>
      <c r="B162" s="766">
        <v>412</v>
      </c>
      <c r="C162" s="766">
        <v>413</v>
      </c>
      <c r="D162" s="766">
        <v>860</v>
      </c>
      <c r="E162" s="850" t="s">
        <v>382</v>
      </c>
      <c r="F162" s="840">
        <v>0</v>
      </c>
      <c r="G162" s="840">
        <v>1589</v>
      </c>
      <c r="H162" s="840">
        <v>0</v>
      </c>
      <c r="I162" s="840">
        <v>0</v>
      </c>
      <c r="J162" s="840">
        <v>0</v>
      </c>
      <c r="K162" s="840">
        <v>0</v>
      </c>
      <c r="L162" s="840">
        <v>1589</v>
      </c>
      <c r="M162" s="852">
        <v>66.209999999999994</v>
      </c>
      <c r="N162" s="846"/>
      <c r="O162" s="753" t="s">
        <v>535</v>
      </c>
      <c r="P162" s="753" t="s">
        <v>521</v>
      </c>
    </row>
    <row r="163" spans="1:16" s="753" customFormat="1" ht="15" customHeight="1" x14ac:dyDescent="0.25">
      <c r="A163" s="753" t="s">
        <v>537</v>
      </c>
      <c r="B163" s="766">
        <v>412</v>
      </c>
      <c r="C163" s="766">
        <v>413</v>
      </c>
      <c r="D163" s="766">
        <v>863</v>
      </c>
      <c r="E163" s="850" t="s">
        <v>382</v>
      </c>
      <c r="F163" s="840">
        <v>0</v>
      </c>
      <c r="G163" s="840">
        <v>6966</v>
      </c>
      <c r="H163" s="840">
        <v>0</v>
      </c>
      <c r="I163" s="840">
        <v>0</v>
      </c>
      <c r="J163" s="840">
        <v>0</v>
      </c>
      <c r="K163" s="840">
        <v>0</v>
      </c>
      <c r="L163" s="840">
        <v>6966</v>
      </c>
      <c r="M163" s="852">
        <v>290.25</v>
      </c>
      <c r="N163" s="846"/>
      <c r="O163" s="753" t="s">
        <v>535</v>
      </c>
      <c r="P163" s="753" t="s">
        <v>538</v>
      </c>
    </row>
    <row r="164" spans="1:16" s="753" customFormat="1" ht="15" customHeight="1" x14ac:dyDescent="0.25">
      <c r="A164" s="753" t="s">
        <v>539</v>
      </c>
      <c r="B164" s="766">
        <v>412</v>
      </c>
      <c r="C164" s="766">
        <v>413</v>
      </c>
      <c r="D164" s="766">
        <v>864</v>
      </c>
      <c r="E164" s="850" t="s">
        <v>382</v>
      </c>
      <c r="F164" s="840">
        <v>0</v>
      </c>
      <c r="G164" s="840">
        <v>1421</v>
      </c>
      <c r="H164" s="840">
        <v>0</v>
      </c>
      <c r="I164" s="840">
        <v>0</v>
      </c>
      <c r="J164" s="840">
        <v>0</v>
      </c>
      <c r="K164" s="840">
        <v>0</v>
      </c>
      <c r="L164" s="840">
        <v>1421</v>
      </c>
      <c r="M164" s="852">
        <v>59.21</v>
      </c>
      <c r="N164" s="846"/>
      <c r="O164" s="753" t="s">
        <v>535</v>
      </c>
      <c r="P164" s="753" t="s">
        <v>526</v>
      </c>
    </row>
    <row r="165" spans="1:16" s="753" customFormat="1" ht="15" customHeight="1" x14ac:dyDescent="0.25">
      <c r="A165" s="753" t="s">
        <v>540</v>
      </c>
      <c r="B165" s="766">
        <v>412</v>
      </c>
      <c r="C165" s="766">
        <v>110674</v>
      </c>
      <c r="D165" s="766" t="s">
        <v>382</v>
      </c>
      <c r="E165" s="843" t="s">
        <v>382</v>
      </c>
      <c r="F165" s="844">
        <v>34754</v>
      </c>
      <c r="G165" s="844">
        <v>10908</v>
      </c>
      <c r="H165" s="844">
        <v>2059</v>
      </c>
      <c r="I165" s="840">
        <v>0</v>
      </c>
      <c r="J165" s="840">
        <v>0</v>
      </c>
      <c r="K165" s="840">
        <v>0</v>
      </c>
      <c r="L165" s="840">
        <v>47721</v>
      </c>
      <c r="M165" s="855">
        <v>1727.36</v>
      </c>
      <c r="N165" s="846"/>
      <c r="O165" s="753" t="s">
        <v>541</v>
      </c>
      <c r="P165" s="753" t="s">
        <v>384</v>
      </c>
    </row>
    <row r="166" spans="1:16" s="753" customFormat="1" ht="15" customHeight="1" x14ac:dyDescent="0.25">
      <c r="A166" s="753" t="s">
        <v>542</v>
      </c>
      <c r="B166" s="766">
        <v>412</v>
      </c>
      <c r="C166" s="766">
        <v>110674</v>
      </c>
      <c r="D166" s="766"/>
      <c r="E166" s="847">
        <v>4</v>
      </c>
      <c r="F166" s="848"/>
      <c r="G166" s="848"/>
      <c r="H166" s="848"/>
      <c r="I166" s="840"/>
      <c r="J166" s="840"/>
      <c r="K166" s="840"/>
      <c r="L166" s="840"/>
      <c r="M166" s="856"/>
      <c r="N166" s="846"/>
    </row>
    <row r="167" spans="1:16" s="753" customFormat="1" ht="15" customHeight="1" x14ac:dyDescent="0.25">
      <c r="A167" s="753" t="s">
        <v>543</v>
      </c>
      <c r="B167" s="766">
        <v>412</v>
      </c>
      <c r="C167" s="766">
        <v>110674</v>
      </c>
      <c r="D167" s="766">
        <v>861</v>
      </c>
      <c r="E167" s="850" t="s">
        <v>382</v>
      </c>
      <c r="F167" s="840">
        <v>8782</v>
      </c>
      <c r="G167" s="840">
        <v>0</v>
      </c>
      <c r="H167" s="840">
        <v>0</v>
      </c>
      <c r="I167" s="840">
        <v>0</v>
      </c>
      <c r="J167" s="840">
        <v>0</v>
      </c>
      <c r="K167" s="840">
        <v>0</v>
      </c>
      <c r="L167" s="840">
        <v>8782</v>
      </c>
      <c r="M167" s="857">
        <v>292.73</v>
      </c>
      <c r="N167" s="846"/>
      <c r="O167" s="753" t="s">
        <v>541</v>
      </c>
      <c r="P167" s="753" t="s">
        <v>533</v>
      </c>
    </row>
    <row r="168" spans="1:16" s="753" customFormat="1" ht="15" customHeight="1" x14ac:dyDescent="0.25">
      <c r="A168" s="753" t="s">
        <v>544</v>
      </c>
      <c r="B168" s="766">
        <v>412</v>
      </c>
      <c r="C168" s="766">
        <v>420</v>
      </c>
      <c r="D168" s="766">
        <v>862</v>
      </c>
      <c r="E168" s="850" t="s">
        <v>382</v>
      </c>
      <c r="F168" s="840">
        <v>0</v>
      </c>
      <c r="G168" s="840">
        <v>0</v>
      </c>
      <c r="H168" s="840">
        <v>0</v>
      </c>
      <c r="I168" s="840">
        <v>0</v>
      </c>
      <c r="J168" s="840">
        <v>0</v>
      </c>
      <c r="K168" s="840">
        <v>0</v>
      </c>
      <c r="L168" s="840">
        <v>0</v>
      </c>
      <c r="M168" s="857">
        <v>0</v>
      </c>
      <c r="N168" s="846"/>
      <c r="O168" s="753" t="s">
        <v>545</v>
      </c>
      <c r="P168" s="753" t="s">
        <v>524</v>
      </c>
    </row>
    <row r="169" spans="1:16" s="753" customFormat="1" ht="15" customHeight="1" x14ac:dyDescent="0.25">
      <c r="A169" s="753" t="s">
        <v>546</v>
      </c>
      <c r="B169" s="766">
        <v>412</v>
      </c>
      <c r="C169" s="766">
        <v>110674</v>
      </c>
      <c r="D169" s="766">
        <v>864</v>
      </c>
      <c r="E169" s="850" t="s">
        <v>382</v>
      </c>
      <c r="F169" s="840">
        <v>2362</v>
      </c>
      <c r="G169" s="840">
        <v>0</v>
      </c>
      <c r="H169" s="840">
        <v>0</v>
      </c>
      <c r="I169" s="840">
        <v>0</v>
      </c>
      <c r="J169" s="840">
        <v>0</v>
      </c>
      <c r="K169" s="840">
        <v>0</v>
      </c>
      <c r="L169" s="840">
        <v>2362</v>
      </c>
      <c r="M169" s="858">
        <v>78.73</v>
      </c>
      <c r="N169" s="846"/>
      <c r="O169" s="753" t="s">
        <v>541</v>
      </c>
      <c r="P169" s="753" t="s">
        <v>526</v>
      </c>
    </row>
    <row r="170" spans="1:16" s="753" customFormat="1" ht="15" customHeight="1" x14ac:dyDescent="0.25">
      <c r="A170" s="753" t="s">
        <v>547</v>
      </c>
      <c r="B170" s="766">
        <v>412</v>
      </c>
      <c r="C170" s="766">
        <v>416</v>
      </c>
      <c r="D170" s="766" t="s">
        <v>382</v>
      </c>
      <c r="E170" s="850" t="s">
        <v>382</v>
      </c>
      <c r="F170" s="840">
        <v>0</v>
      </c>
      <c r="G170" s="840">
        <v>1514</v>
      </c>
      <c r="H170" s="840">
        <v>0</v>
      </c>
      <c r="I170" s="840">
        <v>0</v>
      </c>
      <c r="J170" s="840">
        <v>0</v>
      </c>
      <c r="K170" s="840">
        <v>0</v>
      </c>
      <c r="L170" s="840">
        <v>1514</v>
      </c>
      <c r="M170" s="853">
        <v>63.08</v>
      </c>
      <c r="O170" s="753" t="s">
        <v>548</v>
      </c>
      <c r="P170" s="753" t="s">
        <v>384</v>
      </c>
    </row>
    <row r="171" spans="1:16" s="753" customFormat="1" ht="15" customHeight="1" x14ac:dyDescent="0.25">
      <c r="A171" s="753" t="s">
        <v>549</v>
      </c>
      <c r="B171" s="766">
        <v>412</v>
      </c>
      <c r="C171" s="766">
        <v>416</v>
      </c>
      <c r="D171" s="766">
        <v>860</v>
      </c>
      <c r="E171" s="843" t="s">
        <v>382</v>
      </c>
      <c r="F171" s="840">
        <v>0</v>
      </c>
      <c r="G171" s="844">
        <v>6784</v>
      </c>
      <c r="H171" s="840">
        <v>0</v>
      </c>
      <c r="I171" s="840">
        <v>0</v>
      </c>
      <c r="J171" s="840">
        <v>0</v>
      </c>
      <c r="K171" s="840">
        <v>0</v>
      </c>
      <c r="L171" s="840">
        <v>6784</v>
      </c>
      <c r="M171" s="859">
        <v>282.67</v>
      </c>
      <c r="O171" s="753" t="s">
        <v>548</v>
      </c>
      <c r="P171" s="753" t="s">
        <v>521</v>
      </c>
    </row>
    <row r="172" spans="1:16" s="753" customFormat="1" ht="15" customHeight="1" x14ac:dyDescent="0.25">
      <c r="A172" s="753" t="s">
        <v>549</v>
      </c>
      <c r="B172" s="766">
        <v>412</v>
      </c>
      <c r="C172" s="766">
        <v>416</v>
      </c>
      <c r="D172" s="766">
        <v>860</v>
      </c>
      <c r="E172" s="847">
        <v>2</v>
      </c>
      <c r="F172" s="840">
        <v>0</v>
      </c>
      <c r="G172" s="848">
        <v>79</v>
      </c>
      <c r="H172" s="840">
        <v>0</v>
      </c>
      <c r="I172" s="840">
        <v>0</v>
      </c>
      <c r="J172" s="840">
        <v>0</v>
      </c>
      <c r="K172" s="840">
        <v>0</v>
      </c>
      <c r="L172" s="840">
        <v>79</v>
      </c>
      <c r="M172" s="859">
        <v>3.29</v>
      </c>
      <c r="O172" s="753" t="s">
        <v>548</v>
      </c>
      <c r="P172" s="753" t="s">
        <v>521</v>
      </c>
    </row>
    <row r="173" spans="1:16" s="753" customFormat="1" ht="15" customHeight="1" x14ac:dyDescent="0.25">
      <c r="A173" s="753" t="s">
        <v>550</v>
      </c>
      <c r="B173" s="766">
        <v>412</v>
      </c>
      <c r="C173" s="766">
        <v>416</v>
      </c>
      <c r="D173" s="766">
        <v>861</v>
      </c>
      <c r="E173" s="850" t="s">
        <v>382</v>
      </c>
      <c r="F173" s="840">
        <v>0</v>
      </c>
      <c r="G173" s="840">
        <v>5459</v>
      </c>
      <c r="H173" s="840">
        <v>0</v>
      </c>
      <c r="I173" s="840">
        <v>0</v>
      </c>
      <c r="J173" s="840">
        <v>0</v>
      </c>
      <c r="K173" s="840">
        <v>0</v>
      </c>
      <c r="L173" s="840">
        <v>5459</v>
      </c>
      <c r="M173" s="859">
        <v>227.46</v>
      </c>
      <c r="O173" s="753" t="s">
        <v>548</v>
      </c>
      <c r="P173" s="753" t="s">
        <v>533</v>
      </c>
    </row>
    <row r="174" spans="1:16" s="753" customFormat="1" ht="15" customHeight="1" x14ac:dyDescent="0.25">
      <c r="A174" s="753" t="s">
        <v>551</v>
      </c>
      <c r="B174" s="766">
        <v>412</v>
      </c>
      <c r="C174" s="766">
        <v>416</v>
      </c>
      <c r="D174" s="766">
        <v>866</v>
      </c>
      <c r="E174" s="850" t="s">
        <v>382</v>
      </c>
      <c r="F174" s="840">
        <v>0</v>
      </c>
      <c r="G174" s="840">
        <v>10007</v>
      </c>
      <c r="H174" s="840">
        <v>0</v>
      </c>
      <c r="I174" s="840">
        <v>0</v>
      </c>
      <c r="J174" s="840">
        <v>0</v>
      </c>
      <c r="K174" s="840">
        <v>0</v>
      </c>
      <c r="L174" s="840">
        <v>10007</v>
      </c>
      <c r="M174" s="854">
        <v>416.96</v>
      </c>
      <c r="O174" s="753" t="s">
        <v>548</v>
      </c>
      <c r="P174" s="753" t="s">
        <v>552</v>
      </c>
    </row>
    <row r="175" spans="1:16" s="753" customFormat="1" ht="15" customHeight="1" x14ac:dyDescent="0.25">
      <c r="A175" s="753" t="s">
        <v>553</v>
      </c>
      <c r="B175" s="766">
        <v>412</v>
      </c>
      <c r="C175" s="766">
        <v>419</v>
      </c>
      <c r="D175" s="766" t="s">
        <v>382</v>
      </c>
      <c r="E175" s="843" t="s">
        <v>382</v>
      </c>
      <c r="F175" s="840">
        <v>0</v>
      </c>
      <c r="G175" s="844">
        <v>1959</v>
      </c>
      <c r="H175" s="840">
        <v>0</v>
      </c>
      <c r="I175" s="840">
        <v>0</v>
      </c>
      <c r="J175" s="840">
        <v>0</v>
      </c>
      <c r="K175" s="840">
        <v>0</v>
      </c>
      <c r="L175" s="840">
        <v>1959</v>
      </c>
      <c r="M175" s="853">
        <v>81.63</v>
      </c>
      <c r="O175" s="753" t="s">
        <v>554</v>
      </c>
      <c r="P175" s="753" t="s">
        <v>384</v>
      </c>
    </row>
    <row r="176" spans="1:16" s="753" customFormat="1" ht="15" customHeight="1" x14ac:dyDescent="0.25">
      <c r="A176" s="753" t="s">
        <v>553</v>
      </c>
      <c r="B176" s="766">
        <v>412</v>
      </c>
      <c r="C176" s="766">
        <v>419</v>
      </c>
      <c r="D176" s="766" t="s">
        <v>382</v>
      </c>
      <c r="E176" s="847">
        <v>2</v>
      </c>
      <c r="F176" s="840">
        <v>0</v>
      </c>
      <c r="G176" s="848">
        <v>127</v>
      </c>
      <c r="H176" s="840">
        <v>0</v>
      </c>
      <c r="I176" s="840">
        <v>0</v>
      </c>
      <c r="J176" s="840">
        <v>0</v>
      </c>
      <c r="K176" s="840">
        <v>0</v>
      </c>
      <c r="L176" s="840">
        <v>127</v>
      </c>
      <c r="M176" s="854">
        <v>5.29</v>
      </c>
      <c r="O176" s="753" t="s">
        <v>554</v>
      </c>
      <c r="P176" s="753" t="s">
        <v>384</v>
      </c>
    </row>
    <row r="177" spans="1:16" x14ac:dyDescent="0.25">
      <c r="A177" s="825" t="s">
        <v>555</v>
      </c>
      <c r="B177" s="766">
        <v>412</v>
      </c>
      <c r="C177" s="766">
        <v>419</v>
      </c>
      <c r="D177" s="766">
        <v>861</v>
      </c>
      <c r="E177" s="850" t="s">
        <v>382</v>
      </c>
      <c r="F177" s="771">
        <v>0</v>
      </c>
      <c r="G177" s="771">
        <v>228</v>
      </c>
      <c r="H177" s="771">
        <v>0</v>
      </c>
      <c r="I177" s="771">
        <v>0</v>
      </c>
      <c r="J177" s="771">
        <v>0</v>
      </c>
      <c r="K177" s="771">
        <v>0</v>
      </c>
      <c r="L177" s="771">
        <v>228</v>
      </c>
      <c r="M177" s="772">
        <v>9.5</v>
      </c>
      <c r="O177" s="825" t="s">
        <v>554</v>
      </c>
      <c r="P177" s="825" t="s">
        <v>533</v>
      </c>
    </row>
    <row r="178" spans="1:16" s="753" customFormat="1" ht="15" customHeight="1" x14ac:dyDescent="0.25">
      <c r="A178" s="753" t="s">
        <v>517</v>
      </c>
      <c r="B178" s="766"/>
      <c r="C178" s="766"/>
      <c r="D178" s="766"/>
      <c r="E178" s="850"/>
      <c r="F178" s="840"/>
      <c r="G178" s="840"/>
      <c r="H178" s="840"/>
      <c r="I178" s="840"/>
      <c r="J178" s="840"/>
      <c r="K178" s="840"/>
      <c r="L178" s="840"/>
      <c r="M178" s="852"/>
    </row>
    <row r="179" spans="1:16" s="753" customFormat="1" ht="15" customHeight="1" x14ac:dyDescent="0.25">
      <c r="A179" s="753" t="s">
        <v>389</v>
      </c>
      <c r="B179" s="766">
        <v>412</v>
      </c>
      <c r="C179" s="766" t="s">
        <v>382</v>
      </c>
      <c r="D179" s="766" t="s">
        <v>382</v>
      </c>
      <c r="E179" s="753" t="s">
        <v>382</v>
      </c>
      <c r="F179" s="767">
        <v>55268</v>
      </c>
      <c r="G179" s="767">
        <v>76569</v>
      </c>
      <c r="H179" s="767">
        <v>6833</v>
      </c>
      <c r="I179" s="767">
        <v>737</v>
      </c>
      <c r="J179" s="767">
        <v>0</v>
      </c>
      <c r="K179" s="767">
        <v>17</v>
      </c>
      <c r="L179" s="767">
        <v>138653</v>
      </c>
      <c r="M179" s="807">
        <f>SUM(M151:M178)</f>
        <v>6148.3199999999988</v>
      </c>
    </row>
    <row r="180" spans="1:16" x14ac:dyDescent="0.25">
      <c r="B180" s="770"/>
      <c r="C180" s="770"/>
      <c r="D180" s="770"/>
    </row>
    <row r="181" spans="1:16" x14ac:dyDescent="0.25">
      <c r="B181" s="770"/>
      <c r="C181" s="770"/>
      <c r="D181" s="770"/>
    </row>
    <row r="182" spans="1:16" x14ac:dyDescent="0.25">
      <c r="A182" s="860" t="s">
        <v>556</v>
      </c>
      <c r="B182" s="861"/>
      <c r="C182" s="770"/>
      <c r="D182" s="770"/>
    </row>
    <row r="183" spans="1:16" x14ac:dyDescent="0.25">
      <c r="A183" s="825" t="s">
        <v>557</v>
      </c>
      <c r="B183" s="770">
        <v>862</v>
      </c>
      <c r="C183" s="770">
        <v>418</v>
      </c>
      <c r="D183" s="770" t="s">
        <v>382</v>
      </c>
      <c r="E183" s="825" t="s">
        <v>382</v>
      </c>
      <c r="F183" s="771">
        <v>0</v>
      </c>
      <c r="G183" s="771">
        <v>0</v>
      </c>
      <c r="H183" s="771">
        <v>0</v>
      </c>
      <c r="I183" s="771">
        <v>425</v>
      </c>
      <c r="J183" s="771">
        <v>0</v>
      </c>
      <c r="K183" s="771">
        <v>0</v>
      </c>
      <c r="L183" s="771">
        <v>0</v>
      </c>
      <c r="M183" s="772">
        <v>425</v>
      </c>
      <c r="O183" s="825" t="s">
        <v>523</v>
      </c>
      <c r="P183" s="825" t="s">
        <v>384</v>
      </c>
    </row>
    <row r="184" spans="1:16" x14ac:dyDescent="0.25">
      <c r="A184" s="825" t="s">
        <v>558</v>
      </c>
      <c r="B184" s="770">
        <v>862</v>
      </c>
      <c r="C184" s="770">
        <v>420</v>
      </c>
      <c r="D184" s="770" t="s">
        <v>382</v>
      </c>
      <c r="E184" s="825" t="s">
        <v>382</v>
      </c>
      <c r="F184" s="771">
        <v>11061</v>
      </c>
      <c r="G184" s="771">
        <v>87</v>
      </c>
      <c r="H184" s="771">
        <v>0</v>
      </c>
      <c r="I184" s="771">
        <v>0</v>
      </c>
      <c r="J184" s="771">
        <v>0</v>
      </c>
      <c r="K184" s="771">
        <v>0</v>
      </c>
      <c r="L184" s="771">
        <v>11148</v>
      </c>
      <c r="M184" s="772">
        <v>372.33</v>
      </c>
      <c r="O184" s="825" t="s">
        <v>545</v>
      </c>
      <c r="P184" s="825" t="s">
        <v>384</v>
      </c>
    </row>
    <row r="185" spans="1:16" x14ac:dyDescent="0.25">
      <c r="A185" s="753" t="s">
        <v>559</v>
      </c>
      <c r="B185" s="766">
        <v>862</v>
      </c>
      <c r="C185" s="766">
        <v>422</v>
      </c>
      <c r="D185" s="766" t="s">
        <v>382</v>
      </c>
      <c r="E185" s="825" t="s">
        <v>382</v>
      </c>
      <c r="F185" s="771">
        <v>0</v>
      </c>
      <c r="G185" s="771">
        <v>1029</v>
      </c>
      <c r="H185" s="771">
        <v>0</v>
      </c>
      <c r="I185" s="771">
        <v>0</v>
      </c>
      <c r="J185" s="771">
        <v>0</v>
      </c>
      <c r="K185" s="771">
        <v>0</v>
      </c>
      <c r="L185" s="771">
        <v>1029</v>
      </c>
      <c r="M185" s="772">
        <v>42.88</v>
      </c>
      <c r="O185" s="825" t="s">
        <v>560</v>
      </c>
      <c r="P185" s="825" t="s">
        <v>384</v>
      </c>
    </row>
    <row r="186" spans="1:16" x14ac:dyDescent="0.25">
      <c r="A186" s="825" t="s">
        <v>556</v>
      </c>
      <c r="B186" s="770"/>
      <c r="C186" s="770"/>
      <c r="D186" s="770"/>
    </row>
    <row r="187" spans="1:16" x14ac:dyDescent="0.25">
      <c r="A187" s="825" t="s">
        <v>389</v>
      </c>
      <c r="B187" s="770">
        <v>862</v>
      </c>
      <c r="C187" s="770" t="s">
        <v>382</v>
      </c>
      <c r="D187" s="770" t="s">
        <v>382</v>
      </c>
      <c r="E187" s="825" t="s">
        <v>382</v>
      </c>
      <c r="F187" s="771">
        <v>11061</v>
      </c>
      <c r="G187" s="771">
        <v>1116</v>
      </c>
      <c r="H187" s="771">
        <v>0</v>
      </c>
      <c r="I187" s="771">
        <v>425</v>
      </c>
      <c r="J187" s="771">
        <v>0</v>
      </c>
      <c r="K187" s="771">
        <v>0</v>
      </c>
      <c r="L187" s="771">
        <v>12177</v>
      </c>
      <c r="M187" s="807">
        <f>SUM(M183:M186)</f>
        <v>840.20999999999992</v>
      </c>
    </row>
    <row r="188" spans="1:16" s="790" customFormat="1" ht="12.75" x14ac:dyDescent="0.2">
      <c r="B188" s="786"/>
      <c r="C188" s="786"/>
      <c r="D188" s="786"/>
      <c r="F188" s="767"/>
      <c r="G188" s="767"/>
      <c r="H188" s="767"/>
      <c r="I188" s="767"/>
      <c r="J188" s="767"/>
      <c r="K188" s="767"/>
      <c r="L188" s="767"/>
      <c r="M188" s="826"/>
    </row>
    <row r="189" spans="1:16" s="790" customFormat="1" ht="12.75" x14ac:dyDescent="0.2">
      <c r="B189" s="786"/>
      <c r="C189" s="786"/>
      <c r="D189" s="786"/>
      <c r="F189" s="767"/>
      <c r="G189" s="767"/>
      <c r="H189" s="767"/>
      <c r="I189" s="767"/>
      <c r="J189" s="767"/>
      <c r="K189" s="767"/>
      <c r="L189" s="767"/>
      <c r="M189" s="826"/>
    </row>
    <row r="190" spans="1:16" x14ac:dyDescent="0.25">
      <c r="A190" s="860" t="s">
        <v>561</v>
      </c>
      <c r="B190" s="861"/>
      <c r="C190" s="770"/>
      <c r="D190" s="770"/>
    </row>
    <row r="191" spans="1:16" x14ac:dyDescent="0.25">
      <c r="A191" s="825" t="s">
        <v>557</v>
      </c>
      <c r="B191" s="770">
        <v>203658</v>
      </c>
      <c r="C191" s="770">
        <v>203658</v>
      </c>
      <c r="D191" s="770" t="s">
        <v>382</v>
      </c>
      <c r="E191" s="825" t="s">
        <v>382</v>
      </c>
      <c r="F191" s="771">
        <v>0</v>
      </c>
      <c r="G191" s="771">
        <v>0</v>
      </c>
      <c r="H191" s="771">
        <v>0</v>
      </c>
      <c r="I191" s="771">
        <v>194</v>
      </c>
      <c r="J191" s="771">
        <v>0</v>
      </c>
      <c r="K191" s="771">
        <v>0</v>
      </c>
      <c r="L191" s="771">
        <v>0</v>
      </c>
      <c r="M191" s="772">
        <v>194</v>
      </c>
      <c r="O191" s="747" t="s">
        <v>562</v>
      </c>
      <c r="P191" s="747" t="s">
        <v>384</v>
      </c>
    </row>
    <row r="192" spans="1:16" x14ac:dyDescent="0.25">
      <c r="A192" s="825" t="s">
        <v>561</v>
      </c>
      <c r="B192" s="770"/>
      <c r="C192" s="770"/>
      <c r="D192" s="770"/>
      <c r="E192" s="825"/>
    </row>
    <row r="193" spans="1:16" x14ac:dyDescent="0.25">
      <c r="A193" s="825" t="s">
        <v>389</v>
      </c>
      <c r="B193" s="770">
        <v>203658</v>
      </c>
      <c r="C193" s="770" t="s">
        <v>382</v>
      </c>
      <c r="D193" s="770" t="s">
        <v>382</v>
      </c>
      <c r="E193" s="825" t="s">
        <v>382</v>
      </c>
      <c r="F193" s="771">
        <v>0</v>
      </c>
      <c r="G193" s="771">
        <v>0</v>
      </c>
      <c r="H193" s="771">
        <v>0</v>
      </c>
      <c r="I193" s="771">
        <v>194</v>
      </c>
      <c r="J193" s="771">
        <v>0</v>
      </c>
      <c r="K193" s="771">
        <v>0</v>
      </c>
      <c r="L193" s="771">
        <v>0</v>
      </c>
      <c r="M193" s="807">
        <f>SUM(M191:M192)</f>
        <v>194</v>
      </c>
    </row>
    <row r="194" spans="1:16" s="790" customFormat="1" ht="12.75" x14ac:dyDescent="0.2">
      <c r="B194" s="786"/>
      <c r="C194" s="786"/>
      <c r="D194" s="786"/>
      <c r="F194" s="767"/>
      <c r="G194" s="767"/>
      <c r="H194" s="767"/>
      <c r="I194" s="767"/>
      <c r="J194" s="767"/>
      <c r="K194" s="767"/>
      <c r="L194" s="767"/>
      <c r="M194" s="826"/>
    </row>
    <row r="195" spans="1:16" s="790" customFormat="1" ht="12.75" x14ac:dyDescent="0.2">
      <c r="B195" s="786"/>
      <c r="C195" s="786"/>
      <c r="D195" s="786"/>
      <c r="F195" s="767"/>
      <c r="G195" s="767"/>
      <c r="H195" s="767"/>
      <c r="I195" s="767"/>
      <c r="J195" s="767"/>
      <c r="K195" s="767"/>
      <c r="L195" s="767"/>
      <c r="M195" s="826"/>
    </row>
    <row r="196" spans="1:16" x14ac:dyDescent="0.25">
      <c r="A196" s="860" t="s">
        <v>563</v>
      </c>
      <c r="B196" s="861"/>
      <c r="C196" s="770"/>
      <c r="D196" s="770"/>
    </row>
    <row r="197" spans="1:16" x14ac:dyDescent="0.25">
      <c r="A197" s="825" t="s">
        <v>557</v>
      </c>
      <c r="B197" s="770">
        <v>203599</v>
      </c>
      <c r="C197" s="770">
        <v>203599</v>
      </c>
      <c r="D197" s="770" t="s">
        <v>382</v>
      </c>
      <c r="E197" s="825" t="s">
        <v>382</v>
      </c>
      <c r="F197" s="771">
        <v>0</v>
      </c>
      <c r="G197" s="771">
        <v>0</v>
      </c>
      <c r="H197" s="771">
        <v>0</v>
      </c>
      <c r="I197" s="771">
        <v>221</v>
      </c>
      <c r="J197" s="771">
        <v>0</v>
      </c>
      <c r="K197" s="771">
        <v>0</v>
      </c>
      <c r="L197" s="771">
        <v>0</v>
      </c>
      <c r="M197" s="772">
        <v>221</v>
      </c>
      <c r="O197" s="825" t="s">
        <v>564</v>
      </c>
      <c r="P197" s="825" t="s">
        <v>384</v>
      </c>
    </row>
    <row r="198" spans="1:16" x14ac:dyDescent="0.25">
      <c r="A198" s="825" t="s">
        <v>563</v>
      </c>
      <c r="B198" s="770"/>
      <c r="C198" s="770"/>
      <c r="D198" s="770"/>
      <c r="E198" s="825"/>
    </row>
    <row r="199" spans="1:16" x14ac:dyDescent="0.25">
      <c r="A199" s="825" t="s">
        <v>389</v>
      </c>
      <c r="B199" s="770">
        <v>203599</v>
      </c>
      <c r="C199" s="770" t="s">
        <v>382</v>
      </c>
      <c r="D199" s="770" t="s">
        <v>382</v>
      </c>
      <c r="E199" s="825" t="s">
        <v>382</v>
      </c>
      <c r="F199" s="771">
        <v>0</v>
      </c>
      <c r="G199" s="771">
        <v>0</v>
      </c>
      <c r="H199" s="771">
        <v>0</v>
      </c>
      <c r="I199" s="771">
        <v>221</v>
      </c>
      <c r="J199" s="771">
        <v>0</v>
      </c>
      <c r="K199" s="771">
        <v>0</v>
      </c>
      <c r="L199" s="771">
        <v>0</v>
      </c>
      <c r="M199" s="807">
        <v>221</v>
      </c>
    </row>
    <row r="200" spans="1:16" x14ac:dyDescent="0.25">
      <c r="B200" s="770"/>
      <c r="C200" s="770"/>
      <c r="D200" s="770"/>
    </row>
    <row r="201" spans="1:16" x14ac:dyDescent="0.25">
      <c r="B201" s="770"/>
      <c r="C201" s="770"/>
      <c r="D201" s="770"/>
    </row>
    <row r="202" spans="1:16" x14ac:dyDescent="0.25">
      <c r="A202" s="860" t="s">
        <v>565</v>
      </c>
      <c r="B202" s="861"/>
      <c r="C202" s="770"/>
      <c r="D202" s="770"/>
    </row>
    <row r="203" spans="1:16" x14ac:dyDescent="0.25">
      <c r="A203" s="825" t="s">
        <v>557</v>
      </c>
      <c r="B203" s="770">
        <v>203652</v>
      </c>
      <c r="C203" s="770">
        <v>203652</v>
      </c>
      <c r="D203" s="770" t="s">
        <v>382</v>
      </c>
      <c r="E203" s="825" t="s">
        <v>382</v>
      </c>
      <c r="F203" s="771">
        <v>0</v>
      </c>
      <c r="G203" s="771">
        <v>0</v>
      </c>
      <c r="H203" s="771">
        <v>0</v>
      </c>
      <c r="I203" s="771">
        <v>30</v>
      </c>
      <c r="J203" s="771">
        <v>0</v>
      </c>
      <c r="K203" s="771">
        <v>0</v>
      </c>
      <c r="L203" s="771">
        <v>0</v>
      </c>
      <c r="M203" s="772">
        <v>30</v>
      </c>
      <c r="O203" s="747" t="s">
        <v>566</v>
      </c>
      <c r="P203" s="747" t="s">
        <v>384</v>
      </c>
    </row>
    <row r="204" spans="1:16" x14ac:dyDescent="0.25">
      <c r="A204" s="825" t="s">
        <v>565</v>
      </c>
      <c r="B204" s="770"/>
      <c r="C204" s="770"/>
      <c r="D204" s="770"/>
      <c r="E204" s="825"/>
    </row>
    <row r="205" spans="1:16" x14ac:dyDescent="0.25">
      <c r="A205" s="825" t="s">
        <v>389</v>
      </c>
      <c r="B205" s="770">
        <v>203652</v>
      </c>
      <c r="C205" s="770" t="s">
        <v>382</v>
      </c>
      <c r="D205" s="770" t="s">
        <v>382</v>
      </c>
      <c r="E205" s="825" t="s">
        <v>382</v>
      </c>
      <c r="F205" s="771">
        <v>0</v>
      </c>
      <c r="G205" s="771">
        <v>0</v>
      </c>
      <c r="H205" s="771">
        <v>0</v>
      </c>
      <c r="I205" s="771">
        <f>105-75</f>
        <v>30</v>
      </c>
      <c r="J205" s="771">
        <v>0</v>
      </c>
      <c r="K205" s="771">
        <v>0</v>
      </c>
      <c r="L205" s="771">
        <v>0</v>
      </c>
      <c r="M205" s="807">
        <f>SUM(M203:M204)</f>
        <v>30</v>
      </c>
    </row>
    <row r="206" spans="1:16" x14ac:dyDescent="0.25">
      <c r="B206" s="770"/>
      <c r="C206" s="770"/>
      <c r="D206" s="770"/>
    </row>
    <row r="207" spans="1:16" x14ac:dyDescent="0.25">
      <c r="B207" s="770"/>
      <c r="C207" s="770"/>
      <c r="D207" s="770"/>
      <c r="F207" s="745">
        <f t="shared" ref="F207:M207" si="0">F187+F179+F147+F132+F93+F86+F80+F56+F29+F13+F199+F193+F205</f>
        <v>191127</v>
      </c>
      <c r="G207" s="745">
        <f t="shared" si="0"/>
        <v>264667</v>
      </c>
      <c r="H207" s="745">
        <f t="shared" si="0"/>
        <v>69478</v>
      </c>
      <c r="I207" s="745">
        <f t="shared" si="0"/>
        <v>8065</v>
      </c>
      <c r="J207" s="745">
        <f t="shared" si="0"/>
        <v>287</v>
      </c>
      <c r="K207" s="745">
        <f t="shared" si="0"/>
        <v>1431</v>
      </c>
      <c r="L207" s="745">
        <f t="shared" si="0"/>
        <v>523841</v>
      </c>
      <c r="M207" s="746">
        <f t="shared" si="0"/>
        <v>29531.109999999997</v>
      </c>
    </row>
    <row r="208" spans="1:16" x14ac:dyDescent="0.25">
      <c r="A208" s="825" t="s">
        <v>567</v>
      </c>
      <c r="F208" s="771">
        <v>191127</v>
      </c>
      <c r="G208" s="771">
        <v>264667</v>
      </c>
      <c r="H208" s="771">
        <v>69478</v>
      </c>
      <c r="I208" s="771">
        <v>8065</v>
      </c>
      <c r="J208" s="771">
        <v>287</v>
      </c>
      <c r="K208" s="771">
        <v>1431</v>
      </c>
      <c r="L208" s="771">
        <v>523841</v>
      </c>
      <c r="M208" s="772">
        <v>29531.109999999997</v>
      </c>
    </row>
    <row r="211" spans="1:16" x14ac:dyDescent="0.25">
      <c r="A211" s="825" t="s">
        <v>568</v>
      </c>
    </row>
    <row r="212" spans="1:16" x14ac:dyDescent="0.25">
      <c r="A212" s="825" t="s">
        <v>569</v>
      </c>
    </row>
    <row r="213" spans="1:16" x14ac:dyDescent="0.25">
      <c r="A213" s="825" t="s">
        <v>570</v>
      </c>
    </row>
    <row r="214" spans="1:16" x14ac:dyDescent="0.25">
      <c r="A214" s="825" t="s">
        <v>571</v>
      </c>
    </row>
    <row r="215" spans="1:16" x14ac:dyDescent="0.25">
      <c r="A215" s="825" t="s">
        <v>572</v>
      </c>
    </row>
    <row r="217" spans="1:16" x14ac:dyDescent="0.25">
      <c r="A217" s="785" t="s">
        <v>573</v>
      </c>
    </row>
    <row r="218" spans="1:16" x14ac:dyDescent="0.25">
      <c r="A218" s="825" t="s">
        <v>574</v>
      </c>
    </row>
    <row r="221" spans="1:16" x14ac:dyDescent="0.25">
      <c r="A221" s="825"/>
    </row>
    <row r="223" spans="1:16" x14ac:dyDescent="0.25">
      <c r="A223" s="825" t="s">
        <v>575</v>
      </c>
    </row>
    <row r="224" spans="1:16" x14ac:dyDescent="0.25">
      <c r="A224" s="825" t="s">
        <v>576</v>
      </c>
      <c r="B224" s="825" t="s">
        <v>577</v>
      </c>
      <c r="C224" s="825" t="s">
        <v>577</v>
      </c>
      <c r="D224" s="825" t="s">
        <v>382</v>
      </c>
      <c r="E224" s="825" t="s">
        <v>382</v>
      </c>
      <c r="F224" s="771">
        <v>0</v>
      </c>
      <c r="G224" s="771">
        <v>0</v>
      </c>
      <c r="H224" s="771">
        <v>0</v>
      </c>
      <c r="I224" s="771">
        <v>75</v>
      </c>
      <c r="J224" s="771">
        <v>0</v>
      </c>
      <c r="K224" s="771">
        <v>0</v>
      </c>
      <c r="L224" s="771">
        <v>0</v>
      </c>
      <c r="M224" s="772">
        <v>75</v>
      </c>
      <c r="O224" s="825" t="s">
        <v>578</v>
      </c>
      <c r="P224" s="825" t="s">
        <v>384</v>
      </c>
    </row>
    <row r="225" spans="1:16" x14ac:dyDescent="0.25">
      <c r="A225" s="825" t="s">
        <v>579</v>
      </c>
      <c r="B225" s="825" t="s">
        <v>382</v>
      </c>
      <c r="C225" s="825" t="s">
        <v>382</v>
      </c>
      <c r="D225" s="825" t="s">
        <v>382</v>
      </c>
      <c r="E225" s="825" t="s">
        <v>382</v>
      </c>
      <c r="F225" s="771">
        <v>0</v>
      </c>
      <c r="G225" s="771">
        <v>0</v>
      </c>
      <c r="H225" s="771">
        <v>0</v>
      </c>
      <c r="I225" s="771">
        <v>75</v>
      </c>
      <c r="J225" s="771">
        <v>0</v>
      </c>
      <c r="K225" s="771">
        <v>0</v>
      </c>
      <c r="L225" s="771">
        <v>0</v>
      </c>
      <c r="M225" s="772">
        <v>75</v>
      </c>
      <c r="O225" s="825" t="s">
        <v>580</v>
      </c>
      <c r="P225" s="825" t="s">
        <v>384</v>
      </c>
    </row>
    <row r="226" spans="1:16" x14ac:dyDescent="0.25">
      <c r="A226" s="825" t="s">
        <v>575</v>
      </c>
    </row>
    <row r="227" spans="1:16" x14ac:dyDescent="0.25">
      <c r="A227" s="825" t="s">
        <v>389</v>
      </c>
      <c r="B227" s="825" t="s">
        <v>382</v>
      </c>
      <c r="C227" s="825" t="s">
        <v>382</v>
      </c>
      <c r="D227" s="825" t="s">
        <v>382</v>
      </c>
      <c r="E227" s="825" t="s">
        <v>382</v>
      </c>
      <c r="F227" s="771">
        <v>0</v>
      </c>
      <c r="G227" s="771">
        <v>0</v>
      </c>
      <c r="H227" s="771">
        <v>0</v>
      </c>
      <c r="I227" s="771">
        <v>75</v>
      </c>
      <c r="J227" s="771">
        <v>0</v>
      </c>
      <c r="K227" s="771">
        <v>0</v>
      </c>
      <c r="L227" s="771">
        <v>0</v>
      </c>
      <c r="M227" s="772">
        <v>75</v>
      </c>
    </row>
    <row r="228" spans="1:16" x14ac:dyDescent="0.25">
      <c r="A228" s="825"/>
      <c r="B228" s="825"/>
      <c r="C228" s="825"/>
      <c r="D228" s="825"/>
      <c r="E228" s="825"/>
      <c r="O228" s="825"/>
      <c r="P228" s="825"/>
    </row>
    <row r="229" spans="1:16" x14ac:dyDescent="0.25">
      <c r="A229" s="825"/>
    </row>
    <row r="230" spans="1:16" x14ac:dyDescent="0.25">
      <c r="A230" s="825"/>
      <c r="B230" s="825"/>
    </row>
  </sheetData>
  <pageMargins left="0.75" right="0.75" top="1" bottom="1" header="0.5" footer="0.5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D11C2-1E95-41E7-A6D7-F8BE6F0DDE44}">
  <dimension ref="A1:P218"/>
  <sheetViews>
    <sheetView showGridLines="0" workbookViewId="0">
      <pane ySplit="6" topLeftCell="A7" activePane="bottomLeft" state="frozen"/>
      <selection activeCell="G3" sqref="G3"/>
      <selection pane="bottomLeft" activeCell="G3" sqref="G3"/>
    </sheetView>
  </sheetViews>
  <sheetFormatPr defaultRowHeight="15" x14ac:dyDescent="0.25"/>
  <cols>
    <col min="1" max="1" width="30.7109375" style="747" customWidth="1"/>
    <col min="2" max="4" width="9.140625" style="747"/>
    <col min="5" max="5" width="3.7109375" style="747" customWidth="1"/>
    <col min="6" max="12" width="9.140625" style="771"/>
    <col min="13" max="13" width="9.140625" style="772"/>
    <col min="14" max="14" width="2.7109375" style="747" customWidth="1"/>
    <col min="15" max="15" width="38.5703125" style="747" bestFit="1" customWidth="1"/>
    <col min="16" max="16" width="32.5703125" style="747" bestFit="1" customWidth="1"/>
    <col min="17" max="16384" width="9.140625" style="747"/>
  </cols>
  <sheetData>
    <row r="1" spans="1:16" x14ac:dyDescent="0.25">
      <c r="A1" s="743" t="s">
        <v>361</v>
      </c>
      <c r="B1" s="744"/>
      <c r="C1" s="744"/>
      <c r="D1" s="744"/>
      <c r="E1" s="744"/>
      <c r="F1" s="745"/>
      <c r="G1" s="745"/>
      <c r="H1" s="745"/>
      <c r="I1" s="745"/>
      <c r="J1" s="745"/>
      <c r="K1" s="745"/>
      <c r="L1" s="745"/>
      <c r="M1" s="746"/>
      <c r="N1" s="744"/>
      <c r="O1" s="744"/>
      <c r="P1" s="744"/>
    </row>
    <row r="2" spans="1:16" x14ac:dyDescent="0.25">
      <c r="A2" s="748" t="s">
        <v>362</v>
      </c>
      <c r="B2" s="744"/>
      <c r="C2" s="744"/>
      <c r="D2" s="744"/>
      <c r="E2" s="744"/>
      <c r="F2" s="745"/>
      <c r="G2" s="745"/>
      <c r="H2" s="745"/>
      <c r="I2" s="745"/>
      <c r="J2" s="745"/>
      <c r="K2" s="745"/>
      <c r="L2" s="745"/>
      <c r="M2" s="746"/>
      <c r="N2" s="744"/>
      <c r="O2" s="744"/>
      <c r="P2" s="744"/>
    </row>
    <row r="3" spans="1:16" x14ac:dyDescent="0.25">
      <c r="A3" s="748" t="s">
        <v>364</v>
      </c>
      <c r="B3" s="744"/>
      <c r="C3" s="744"/>
      <c r="D3" s="744"/>
      <c r="E3" s="744"/>
      <c r="F3" s="745"/>
      <c r="G3" s="745"/>
      <c r="H3" s="745"/>
      <c r="I3" s="745"/>
      <c r="J3" s="745"/>
      <c r="K3" s="745"/>
      <c r="L3" s="745"/>
      <c r="M3" s="746"/>
      <c r="N3" s="744"/>
      <c r="O3" s="744"/>
      <c r="P3" s="744"/>
    </row>
    <row r="4" spans="1:16" x14ac:dyDescent="0.25">
      <c r="A4" s="744"/>
      <c r="B4" s="744"/>
      <c r="C4" s="744"/>
      <c r="D4" s="744"/>
      <c r="E4" s="744"/>
      <c r="F4" s="745"/>
      <c r="G4" s="745"/>
      <c r="H4" s="745"/>
      <c r="I4" s="745"/>
      <c r="J4" s="745"/>
      <c r="K4" s="749" t="s">
        <v>365</v>
      </c>
      <c r="L4" s="745"/>
      <c r="M4" s="746"/>
      <c r="N4" s="744"/>
      <c r="O4" s="744"/>
      <c r="P4" s="744"/>
    </row>
    <row r="5" spans="1:16" x14ac:dyDescent="0.25">
      <c r="A5" s="748" t="s">
        <v>366</v>
      </c>
      <c r="B5" s="748" t="s">
        <v>367</v>
      </c>
      <c r="C5" s="748" t="s">
        <v>368</v>
      </c>
      <c r="D5" s="748" t="s">
        <v>369</v>
      </c>
      <c r="E5" s="748" t="s">
        <v>370</v>
      </c>
      <c r="F5" s="745" t="s">
        <v>371</v>
      </c>
      <c r="G5" s="749" t="s">
        <v>372</v>
      </c>
      <c r="H5" s="749" t="s">
        <v>373</v>
      </c>
      <c r="I5" s="749" t="s">
        <v>374</v>
      </c>
      <c r="J5" s="749" t="s">
        <v>375</v>
      </c>
      <c r="K5" s="749" t="s">
        <v>376</v>
      </c>
      <c r="L5" s="749" t="s">
        <v>0</v>
      </c>
      <c r="M5" s="750" t="s">
        <v>377</v>
      </c>
      <c r="N5" s="751"/>
      <c r="O5" s="748" t="s">
        <v>378</v>
      </c>
      <c r="P5" s="748" t="s">
        <v>379</v>
      </c>
    </row>
    <row r="7" spans="1:16" x14ac:dyDescent="0.25">
      <c r="A7" s="825" t="s">
        <v>380</v>
      </c>
    </row>
    <row r="8" spans="1:16" x14ac:dyDescent="0.25">
      <c r="A8" s="825" t="s">
        <v>381</v>
      </c>
      <c r="B8" s="825" t="s">
        <v>581</v>
      </c>
      <c r="C8" s="825" t="s">
        <v>582</v>
      </c>
      <c r="D8" s="825" t="s">
        <v>382</v>
      </c>
      <c r="E8" s="825" t="s">
        <v>382</v>
      </c>
      <c r="F8" s="771">
        <v>0</v>
      </c>
      <c r="G8" s="771">
        <v>0</v>
      </c>
      <c r="H8" s="771">
        <v>0</v>
      </c>
      <c r="I8" s="771">
        <v>892</v>
      </c>
      <c r="J8" s="771">
        <v>0</v>
      </c>
      <c r="K8" s="771">
        <v>0</v>
      </c>
      <c r="L8" s="771">
        <v>0</v>
      </c>
      <c r="M8" s="772">
        <v>892</v>
      </c>
      <c r="O8" s="825" t="s">
        <v>383</v>
      </c>
      <c r="P8" s="825" t="s">
        <v>384</v>
      </c>
    </row>
    <row r="9" spans="1:16" x14ac:dyDescent="0.25">
      <c r="A9" s="825" t="s">
        <v>385</v>
      </c>
      <c r="B9" s="825" t="s">
        <v>581</v>
      </c>
      <c r="C9" s="825" t="s">
        <v>583</v>
      </c>
      <c r="D9" s="825" t="s">
        <v>382</v>
      </c>
      <c r="E9" s="825" t="s">
        <v>382</v>
      </c>
      <c r="F9" s="771">
        <v>0</v>
      </c>
      <c r="G9" s="771">
        <v>4444</v>
      </c>
      <c r="H9" s="771">
        <v>11881</v>
      </c>
      <c r="I9" s="771">
        <v>0</v>
      </c>
      <c r="J9" s="771">
        <v>0</v>
      </c>
      <c r="K9" s="771">
        <v>906</v>
      </c>
      <c r="L9" s="771">
        <v>15419</v>
      </c>
      <c r="M9" s="772">
        <v>794.89</v>
      </c>
      <c r="O9" s="825" t="s">
        <v>386</v>
      </c>
      <c r="P9" s="825" t="s">
        <v>384</v>
      </c>
    </row>
    <row r="10" spans="1:16" x14ac:dyDescent="0.25">
      <c r="A10" s="825" t="s">
        <v>385</v>
      </c>
      <c r="B10" s="825" t="s">
        <v>581</v>
      </c>
      <c r="C10" s="825" t="s">
        <v>583</v>
      </c>
      <c r="D10" s="825" t="s">
        <v>382</v>
      </c>
      <c r="E10" s="825" t="s">
        <v>584</v>
      </c>
      <c r="F10" s="771">
        <v>0</v>
      </c>
      <c r="G10" s="771">
        <v>0</v>
      </c>
      <c r="H10" s="771">
        <v>180</v>
      </c>
      <c r="I10" s="771">
        <v>0</v>
      </c>
      <c r="J10" s="771">
        <v>0</v>
      </c>
      <c r="K10" s="771">
        <v>0</v>
      </c>
      <c r="L10" s="771">
        <v>180</v>
      </c>
      <c r="M10" s="772">
        <v>10</v>
      </c>
      <c r="O10" s="825" t="s">
        <v>386</v>
      </c>
      <c r="P10" s="825" t="s">
        <v>384</v>
      </c>
    </row>
    <row r="11" spans="1:16" x14ac:dyDescent="0.25">
      <c r="A11" s="825" t="s">
        <v>387</v>
      </c>
      <c r="B11" s="825" t="s">
        <v>581</v>
      </c>
      <c r="C11" s="825" t="s">
        <v>585</v>
      </c>
      <c r="D11" s="825" t="s">
        <v>382</v>
      </c>
      <c r="E11" s="825" t="s">
        <v>382</v>
      </c>
      <c r="F11" s="771">
        <v>0</v>
      </c>
      <c r="G11" s="771">
        <v>12652</v>
      </c>
      <c r="H11" s="771">
        <v>169</v>
      </c>
      <c r="I11" s="771">
        <v>0</v>
      </c>
      <c r="J11" s="771">
        <v>0</v>
      </c>
      <c r="K11" s="771">
        <v>0</v>
      </c>
      <c r="L11" s="771">
        <v>12821</v>
      </c>
      <c r="M11" s="772">
        <v>536.55999999999995</v>
      </c>
      <c r="O11" s="825" t="s">
        <v>388</v>
      </c>
      <c r="P11" s="825" t="s">
        <v>384</v>
      </c>
    </row>
    <row r="12" spans="1:16" x14ac:dyDescent="0.25">
      <c r="A12" s="825" t="s">
        <v>380</v>
      </c>
    </row>
    <row r="13" spans="1:16" x14ac:dyDescent="0.25">
      <c r="A13" s="825" t="s">
        <v>389</v>
      </c>
      <c r="B13" s="825" t="s">
        <v>581</v>
      </c>
      <c r="C13" s="825" t="s">
        <v>382</v>
      </c>
      <c r="D13" s="825" t="s">
        <v>382</v>
      </c>
      <c r="E13" s="825" t="s">
        <v>382</v>
      </c>
      <c r="F13" s="771">
        <v>0</v>
      </c>
      <c r="G13" s="771">
        <v>17096</v>
      </c>
      <c r="H13" s="771">
        <v>12230</v>
      </c>
      <c r="I13" s="771">
        <v>892</v>
      </c>
      <c r="J13" s="771">
        <v>0</v>
      </c>
      <c r="K13" s="771">
        <v>906</v>
      </c>
      <c r="L13" s="771">
        <v>28420</v>
      </c>
      <c r="M13" s="772">
        <v>2233.44</v>
      </c>
    </row>
    <row r="16" spans="1:16" x14ac:dyDescent="0.25">
      <c r="A16" s="825" t="s">
        <v>390</v>
      </c>
    </row>
    <row r="17" spans="1:16" x14ac:dyDescent="0.25">
      <c r="A17" s="825" t="s">
        <v>391</v>
      </c>
      <c r="B17" s="825" t="s">
        <v>586</v>
      </c>
      <c r="C17" s="825" t="s">
        <v>587</v>
      </c>
      <c r="D17" s="825" t="s">
        <v>382</v>
      </c>
      <c r="E17" s="825" t="s">
        <v>382</v>
      </c>
      <c r="F17" s="771">
        <v>0</v>
      </c>
      <c r="G17" s="771">
        <v>0</v>
      </c>
      <c r="H17" s="771">
        <v>0</v>
      </c>
      <c r="I17" s="771">
        <v>954</v>
      </c>
      <c r="J17" s="771">
        <v>0</v>
      </c>
      <c r="K17" s="771">
        <v>0</v>
      </c>
      <c r="L17" s="771">
        <v>0</v>
      </c>
      <c r="M17" s="772">
        <v>954</v>
      </c>
      <c r="O17" s="825" t="s">
        <v>392</v>
      </c>
      <c r="P17" s="825" t="s">
        <v>384</v>
      </c>
    </row>
    <row r="18" spans="1:16" s="790" customFormat="1" ht="12.75" x14ac:dyDescent="0.2">
      <c r="A18" s="785" t="s">
        <v>391</v>
      </c>
      <c r="B18" s="785" t="s">
        <v>586</v>
      </c>
      <c r="C18" s="785" t="s">
        <v>587</v>
      </c>
      <c r="D18" s="785" t="s">
        <v>382</v>
      </c>
      <c r="E18" s="785" t="s">
        <v>584</v>
      </c>
      <c r="F18" s="767">
        <v>0</v>
      </c>
      <c r="G18" s="767">
        <v>0</v>
      </c>
      <c r="H18" s="767">
        <v>0</v>
      </c>
      <c r="I18" s="767">
        <v>1</v>
      </c>
      <c r="J18" s="767">
        <v>0</v>
      </c>
      <c r="K18" s="767">
        <v>0</v>
      </c>
      <c r="L18" s="767">
        <v>0</v>
      </c>
      <c r="M18" s="826">
        <v>1</v>
      </c>
      <c r="O18" s="785" t="s">
        <v>392</v>
      </c>
      <c r="P18" s="785" t="s">
        <v>384</v>
      </c>
    </row>
    <row r="19" spans="1:16" x14ac:dyDescent="0.25">
      <c r="A19" s="825" t="s">
        <v>393</v>
      </c>
      <c r="B19" s="825" t="s">
        <v>586</v>
      </c>
      <c r="C19" s="825" t="s">
        <v>587</v>
      </c>
      <c r="D19" s="825" t="s">
        <v>588</v>
      </c>
      <c r="E19" s="825" t="s">
        <v>382</v>
      </c>
      <c r="F19" s="771">
        <v>0</v>
      </c>
      <c r="G19" s="771">
        <v>0</v>
      </c>
      <c r="H19" s="771">
        <v>0</v>
      </c>
      <c r="I19" s="771">
        <v>0</v>
      </c>
      <c r="J19" s="771">
        <v>0</v>
      </c>
      <c r="K19" s="771">
        <v>0</v>
      </c>
      <c r="L19" s="771">
        <v>0</v>
      </c>
      <c r="M19" s="772">
        <v>0</v>
      </c>
      <c r="O19" s="825" t="s">
        <v>392</v>
      </c>
      <c r="P19" s="825" t="s">
        <v>394</v>
      </c>
    </row>
    <row r="20" spans="1:16" x14ac:dyDescent="0.25">
      <c r="A20" s="825" t="s">
        <v>395</v>
      </c>
      <c r="B20" s="825" t="s">
        <v>586</v>
      </c>
      <c r="C20" s="825" t="s">
        <v>589</v>
      </c>
      <c r="D20" s="825" t="s">
        <v>382</v>
      </c>
      <c r="E20" s="825" t="s">
        <v>382</v>
      </c>
      <c r="F20" s="771">
        <v>0</v>
      </c>
      <c r="G20" s="771">
        <v>1469</v>
      </c>
      <c r="H20" s="771">
        <v>3297</v>
      </c>
      <c r="I20" s="771">
        <v>0</v>
      </c>
      <c r="J20" s="771">
        <v>0</v>
      </c>
      <c r="K20" s="771">
        <v>190</v>
      </c>
      <c r="L20" s="771">
        <v>4576</v>
      </c>
      <c r="M20" s="772">
        <v>233.82</v>
      </c>
      <c r="O20" s="825" t="s">
        <v>396</v>
      </c>
      <c r="P20" s="825" t="s">
        <v>384</v>
      </c>
    </row>
    <row r="21" spans="1:16" x14ac:dyDescent="0.25">
      <c r="A21" s="825" t="s">
        <v>395</v>
      </c>
      <c r="B21" s="825" t="s">
        <v>586</v>
      </c>
      <c r="C21" s="825" t="s">
        <v>589</v>
      </c>
      <c r="D21" s="825" t="s">
        <v>382</v>
      </c>
      <c r="E21" s="825" t="s">
        <v>584</v>
      </c>
      <c r="F21" s="771">
        <v>0</v>
      </c>
      <c r="G21" s="771">
        <v>93</v>
      </c>
      <c r="H21" s="771">
        <v>328</v>
      </c>
      <c r="I21" s="771">
        <v>0</v>
      </c>
      <c r="J21" s="771">
        <v>0</v>
      </c>
      <c r="K21" s="771">
        <v>0</v>
      </c>
      <c r="L21" s="771">
        <v>421</v>
      </c>
      <c r="M21" s="772">
        <v>22.1</v>
      </c>
      <c r="O21" s="825" t="s">
        <v>396</v>
      </c>
      <c r="P21" s="825" t="s">
        <v>384</v>
      </c>
    </row>
    <row r="22" spans="1:16" x14ac:dyDescent="0.25">
      <c r="A22" s="825" t="s">
        <v>397</v>
      </c>
      <c r="B22" s="825" t="s">
        <v>586</v>
      </c>
      <c r="C22" s="825" t="s">
        <v>590</v>
      </c>
      <c r="D22" s="825" t="s">
        <v>382</v>
      </c>
      <c r="E22" s="825" t="s">
        <v>382</v>
      </c>
      <c r="F22" s="771">
        <v>4082</v>
      </c>
      <c r="G22" s="771">
        <v>22276</v>
      </c>
      <c r="H22" s="771">
        <v>5433</v>
      </c>
      <c r="I22" s="771">
        <v>0</v>
      </c>
      <c r="J22" s="771">
        <v>0</v>
      </c>
      <c r="K22" s="771">
        <v>0</v>
      </c>
      <c r="L22" s="771">
        <v>31791</v>
      </c>
      <c r="M22" s="772">
        <v>1366.07</v>
      </c>
      <c r="O22" s="825" t="s">
        <v>398</v>
      </c>
      <c r="P22" s="825" t="s">
        <v>384</v>
      </c>
    </row>
    <row r="23" spans="1:16" x14ac:dyDescent="0.25">
      <c r="A23" s="825" t="s">
        <v>399</v>
      </c>
      <c r="B23" s="825" t="s">
        <v>586</v>
      </c>
      <c r="C23" s="825" t="s">
        <v>591</v>
      </c>
      <c r="D23" s="825" t="s">
        <v>382</v>
      </c>
      <c r="E23" s="825" t="s">
        <v>382</v>
      </c>
      <c r="F23" s="771">
        <v>22808</v>
      </c>
      <c r="G23" s="771">
        <v>9188</v>
      </c>
      <c r="H23" s="771">
        <v>1707</v>
      </c>
      <c r="I23" s="771">
        <v>0</v>
      </c>
      <c r="J23" s="771">
        <v>0</v>
      </c>
      <c r="K23" s="771">
        <v>26</v>
      </c>
      <c r="L23" s="771">
        <v>33677</v>
      </c>
      <c r="M23" s="772">
        <v>1236.49</v>
      </c>
      <c r="O23" s="825" t="s">
        <v>400</v>
      </c>
      <c r="P23" s="825" t="s">
        <v>384</v>
      </c>
    </row>
    <row r="24" spans="1:16" x14ac:dyDescent="0.25">
      <c r="A24" s="825" t="s">
        <v>401</v>
      </c>
      <c r="B24" s="825" t="s">
        <v>586</v>
      </c>
      <c r="C24" s="825" t="s">
        <v>592</v>
      </c>
      <c r="D24" s="825" t="s">
        <v>382</v>
      </c>
      <c r="E24" s="825" t="s">
        <v>382</v>
      </c>
      <c r="F24" s="771">
        <v>0</v>
      </c>
      <c r="G24" s="771">
        <v>774</v>
      </c>
      <c r="H24" s="771">
        <v>303</v>
      </c>
      <c r="I24" s="771">
        <v>0</v>
      </c>
      <c r="J24" s="771">
        <v>0</v>
      </c>
      <c r="K24" s="771">
        <v>40</v>
      </c>
      <c r="L24" s="771">
        <v>1037</v>
      </c>
      <c r="M24" s="772">
        <v>46.86</v>
      </c>
      <c r="O24" s="825" t="s">
        <v>396</v>
      </c>
      <c r="P24" s="825" t="s">
        <v>384</v>
      </c>
    </row>
    <row r="25" spans="1:16" x14ac:dyDescent="0.25">
      <c r="A25" s="825" t="s">
        <v>401</v>
      </c>
      <c r="B25" s="825" t="s">
        <v>586</v>
      </c>
      <c r="C25" s="825" t="s">
        <v>592</v>
      </c>
      <c r="D25" s="825" t="s">
        <v>382</v>
      </c>
      <c r="E25" s="825" t="s">
        <v>584</v>
      </c>
      <c r="F25" s="771">
        <v>0</v>
      </c>
      <c r="G25" s="771">
        <v>54</v>
      </c>
      <c r="H25" s="771">
        <v>89</v>
      </c>
      <c r="I25" s="771">
        <v>0</v>
      </c>
      <c r="J25" s="771">
        <v>0</v>
      </c>
      <c r="K25" s="771">
        <v>7</v>
      </c>
      <c r="L25" s="771">
        <v>136</v>
      </c>
      <c r="M25" s="772">
        <v>6.81</v>
      </c>
      <c r="O25" s="825" t="s">
        <v>396</v>
      </c>
      <c r="P25" s="825" t="s">
        <v>384</v>
      </c>
    </row>
    <row r="26" spans="1:16" x14ac:dyDescent="0.25">
      <c r="A26" s="825" t="s">
        <v>390</v>
      </c>
    </row>
    <row r="27" spans="1:16" x14ac:dyDescent="0.25">
      <c r="A27" s="825" t="s">
        <v>389</v>
      </c>
      <c r="B27" s="825" t="s">
        <v>586</v>
      </c>
      <c r="C27" s="825" t="s">
        <v>382</v>
      </c>
      <c r="D27" s="825" t="s">
        <v>382</v>
      </c>
      <c r="E27" s="825" t="s">
        <v>382</v>
      </c>
      <c r="F27" s="771">
        <v>26890</v>
      </c>
      <c r="G27" s="771">
        <v>33854</v>
      </c>
      <c r="H27" s="771">
        <v>11157</v>
      </c>
      <c r="I27" s="771">
        <v>955</v>
      </c>
      <c r="J27" s="771">
        <v>0</v>
      </c>
      <c r="K27" s="771">
        <v>263</v>
      </c>
      <c r="L27" s="771">
        <v>71638</v>
      </c>
      <c r="M27" s="772">
        <v>3867.15</v>
      </c>
    </row>
    <row r="30" spans="1:16" x14ac:dyDescent="0.25">
      <c r="A30" s="825" t="s">
        <v>402</v>
      </c>
    </row>
    <row r="31" spans="1:16" x14ac:dyDescent="0.25">
      <c r="A31" s="825" t="s">
        <v>403</v>
      </c>
      <c r="B31" s="825" t="s">
        <v>593</v>
      </c>
      <c r="C31" s="825" t="s">
        <v>594</v>
      </c>
      <c r="D31" s="825" t="s">
        <v>382</v>
      </c>
      <c r="E31" s="825" t="s">
        <v>382</v>
      </c>
      <c r="F31" s="771">
        <v>0</v>
      </c>
      <c r="G31" s="771">
        <v>0</v>
      </c>
      <c r="H31" s="771">
        <v>0</v>
      </c>
      <c r="I31" s="771">
        <v>979</v>
      </c>
      <c r="J31" s="771">
        <v>0</v>
      </c>
      <c r="K31" s="771">
        <v>0</v>
      </c>
      <c r="L31" s="771">
        <v>0</v>
      </c>
      <c r="M31" s="772">
        <v>979</v>
      </c>
      <c r="O31" s="825" t="s">
        <v>404</v>
      </c>
      <c r="P31" s="825" t="s">
        <v>384</v>
      </c>
    </row>
    <row r="32" spans="1:16" x14ac:dyDescent="0.25">
      <c r="A32" s="825" t="s">
        <v>405</v>
      </c>
      <c r="B32" s="825" t="s">
        <v>593</v>
      </c>
      <c r="C32" s="825" t="s">
        <v>595</v>
      </c>
      <c r="D32" s="825" t="s">
        <v>382</v>
      </c>
      <c r="E32" s="825" t="s">
        <v>382</v>
      </c>
      <c r="F32" s="771">
        <v>0</v>
      </c>
      <c r="G32" s="771">
        <v>0</v>
      </c>
      <c r="H32" s="771">
        <v>0</v>
      </c>
      <c r="I32" s="771">
        <v>418</v>
      </c>
      <c r="J32" s="771">
        <v>0</v>
      </c>
      <c r="K32" s="771">
        <v>0</v>
      </c>
      <c r="L32" s="771">
        <v>0</v>
      </c>
      <c r="M32" s="772">
        <v>418</v>
      </c>
      <c r="O32" s="825" t="s">
        <v>406</v>
      </c>
      <c r="P32" s="825" t="s">
        <v>384</v>
      </c>
    </row>
    <row r="33" spans="1:16" x14ac:dyDescent="0.25">
      <c r="A33" s="825" t="s">
        <v>405</v>
      </c>
      <c r="B33" s="825" t="s">
        <v>593</v>
      </c>
      <c r="C33" s="825" t="s">
        <v>596</v>
      </c>
      <c r="D33" s="825" t="s">
        <v>382</v>
      </c>
      <c r="E33" s="825" t="s">
        <v>382</v>
      </c>
      <c r="F33" s="771">
        <v>0</v>
      </c>
      <c r="G33" s="771">
        <v>0</v>
      </c>
      <c r="H33" s="771">
        <v>0</v>
      </c>
      <c r="I33" s="771">
        <v>0</v>
      </c>
      <c r="J33" s="771">
        <v>89</v>
      </c>
      <c r="K33" s="771">
        <v>0</v>
      </c>
      <c r="L33" s="771">
        <v>0</v>
      </c>
      <c r="M33" s="772">
        <v>89</v>
      </c>
      <c r="O33" s="825" t="s">
        <v>407</v>
      </c>
      <c r="P33" s="825" t="s">
        <v>384</v>
      </c>
    </row>
    <row r="34" spans="1:16" x14ac:dyDescent="0.25">
      <c r="A34" s="825" t="s">
        <v>408</v>
      </c>
      <c r="B34" s="825" t="s">
        <v>593</v>
      </c>
      <c r="C34" s="825" t="s">
        <v>597</v>
      </c>
      <c r="D34" s="825" t="s">
        <v>382</v>
      </c>
      <c r="E34" s="825" t="s">
        <v>382</v>
      </c>
      <c r="F34" s="771">
        <v>0</v>
      </c>
      <c r="G34" s="771">
        <v>1964</v>
      </c>
      <c r="H34" s="771">
        <v>7458</v>
      </c>
      <c r="I34" s="771">
        <v>0</v>
      </c>
      <c r="J34" s="771">
        <v>0</v>
      </c>
      <c r="K34" s="771">
        <v>68</v>
      </c>
      <c r="L34" s="771">
        <v>9354</v>
      </c>
      <c r="M34" s="772">
        <v>492.39</v>
      </c>
      <c r="O34" s="825" t="s">
        <v>409</v>
      </c>
      <c r="P34" s="825" t="s">
        <v>384</v>
      </c>
    </row>
    <row r="35" spans="1:16" x14ac:dyDescent="0.25">
      <c r="A35" s="825" t="s">
        <v>408</v>
      </c>
      <c r="B35" s="825" t="s">
        <v>593</v>
      </c>
      <c r="C35" s="825" t="s">
        <v>597</v>
      </c>
      <c r="D35" s="825" t="s">
        <v>382</v>
      </c>
      <c r="E35" s="825" t="s">
        <v>584</v>
      </c>
      <c r="F35" s="771">
        <v>0</v>
      </c>
      <c r="G35" s="771">
        <v>0</v>
      </c>
      <c r="H35" s="771">
        <v>60</v>
      </c>
      <c r="I35" s="771">
        <v>0</v>
      </c>
      <c r="J35" s="771">
        <v>0</v>
      </c>
      <c r="K35" s="771">
        <v>0</v>
      </c>
      <c r="L35" s="771">
        <v>60</v>
      </c>
      <c r="M35" s="772">
        <v>3.33</v>
      </c>
      <c r="O35" s="825" t="s">
        <v>409</v>
      </c>
      <c r="P35" s="825" t="s">
        <v>384</v>
      </c>
    </row>
    <row r="36" spans="1:16" x14ac:dyDescent="0.25">
      <c r="A36" s="825" t="s">
        <v>408</v>
      </c>
      <c r="B36" s="825" t="s">
        <v>593</v>
      </c>
      <c r="C36" s="825" t="s">
        <v>598</v>
      </c>
      <c r="D36" s="825" t="s">
        <v>382</v>
      </c>
      <c r="E36" s="825" t="s">
        <v>382</v>
      </c>
      <c r="F36" s="771">
        <v>0</v>
      </c>
      <c r="G36" s="771">
        <v>749</v>
      </c>
      <c r="H36" s="771">
        <v>0</v>
      </c>
      <c r="I36" s="771">
        <v>0</v>
      </c>
      <c r="J36" s="771">
        <v>0</v>
      </c>
      <c r="K36" s="771">
        <v>0</v>
      </c>
      <c r="L36" s="771">
        <v>749</v>
      </c>
      <c r="M36" s="772">
        <v>31.21</v>
      </c>
      <c r="O36" s="825" t="s">
        <v>410</v>
      </c>
      <c r="P36" s="825" t="s">
        <v>384</v>
      </c>
    </row>
    <row r="37" spans="1:16" x14ac:dyDescent="0.25">
      <c r="A37" s="825" t="s">
        <v>411</v>
      </c>
      <c r="B37" s="825" t="s">
        <v>593</v>
      </c>
      <c r="C37" s="825" t="s">
        <v>597</v>
      </c>
      <c r="D37" s="825" t="s">
        <v>599</v>
      </c>
      <c r="E37" s="825" t="s">
        <v>382</v>
      </c>
      <c r="F37" s="771">
        <v>0</v>
      </c>
      <c r="G37" s="771">
        <v>0</v>
      </c>
      <c r="H37" s="771">
        <v>96</v>
      </c>
      <c r="I37" s="771">
        <v>0</v>
      </c>
      <c r="J37" s="771">
        <v>0</v>
      </c>
      <c r="K37" s="771">
        <v>6</v>
      </c>
      <c r="L37" s="771">
        <v>90</v>
      </c>
      <c r="M37" s="772">
        <v>5</v>
      </c>
      <c r="O37" s="825" t="s">
        <v>412</v>
      </c>
      <c r="P37" s="825" t="s">
        <v>384</v>
      </c>
    </row>
    <row r="38" spans="1:16" x14ac:dyDescent="0.25">
      <c r="A38" s="825" t="s">
        <v>413</v>
      </c>
      <c r="B38" s="825" t="s">
        <v>593</v>
      </c>
      <c r="C38" s="825" t="s">
        <v>600</v>
      </c>
      <c r="D38" s="825" t="s">
        <v>382</v>
      </c>
      <c r="E38" s="825" t="s">
        <v>382</v>
      </c>
      <c r="F38" s="771">
        <v>0</v>
      </c>
      <c r="G38" s="771">
        <v>0</v>
      </c>
      <c r="H38" s="771">
        <v>0</v>
      </c>
      <c r="I38" s="771">
        <v>0</v>
      </c>
      <c r="J38" s="771">
        <v>0</v>
      </c>
      <c r="K38" s="771">
        <v>0</v>
      </c>
      <c r="L38" s="771">
        <v>0</v>
      </c>
      <c r="M38" s="772">
        <v>0</v>
      </c>
      <c r="O38" s="825" t="s">
        <v>414</v>
      </c>
      <c r="P38" s="825" t="s">
        <v>384</v>
      </c>
    </row>
    <row r="39" spans="1:16" x14ac:dyDescent="0.25">
      <c r="A39" s="825" t="s">
        <v>415</v>
      </c>
      <c r="B39" s="825" t="s">
        <v>593</v>
      </c>
      <c r="C39" s="825" t="s">
        <v>601</v>
      </c>
      <c r="D39" s="825" t="s">
        <v>382</v>
      </c>
      <c r="E39" s="825" t="s">
        <v>382</v>
      </c>
      <c r="F39" s="771">
        <v>2271</v>
      </c>
      <c r="G39" s="771">
        <v>0</v>
      </c>
      <c r="H39" s="771">
        <v>0</v>
      </c>
      <c r="I39" s="771">
        <v>0</v>
      </c>
      <c r="J39" s="771">
        <v>0</v>
      </c>
      <c r="K39" s="771">
        <v>0</v>
      </c>
      <c r="L39" s="771">
        <v>2271</v>
      </c>
      <c r="M39" s="772">
        <v>75.7</v>
      </c>
      <c r="O39" s="825" t="s">
        <v>407</v>
      </c>
      <c r="P39" s="825" t="s">
        <v>384</v>
      </c>
    </row>
    <row r="40" spans="1:16" x14ac:dyDescent="0.25">
      <c r="A40" s="825" t="s">
        <v>416</v>
      </c>
      <c r="B40" s="825" t="s">
        <v>593</v>
      </c>
      <c r="C40" s="825" t="s">
        <v>602</v>
      </c>
      <c r="D40" s="825" t="s">
        <v>382</v>
      </c>
      <c r="E40" s="825" t="s">
        <v>382</v>
      </c>
      <c r="F40" s="771">
        <v>0</v>
      </c>
      <c r="G40" s="771">
        <v>3353</v>
      </c>
      <c r="H40" s="771">
        <v>599</v>
      </c>
      <c r="I40" s="771">
        <v>0</v>
      </c>
      <c r="J40" s="771">
        <v>0</v>
      </c>
      <c r="K40" s="771">
        <v>12</v>
      </c>
      <c r="L40" s="771">
        <v>3940</v>
      </c>
      <c r="M40" s="772">
        <v>172.32</v>
      </c>
      <c r="O40" s="825" t="s">
        <v>417</v>
      </c>
      <c r="P40" s="825" t="s">
        <v>384</v>
      </c>
    </row>
    <row r="41" spans="1:16" x14ac:dyDescent="0.25">
      <c r="A41" s="825" t="s">
        <v>416</v>
      </c>
      <c r="B41" s="825" t="s">
        <v>593</v>
      </c>
      <c r="C41" s="825" t="s">
        <v>602</v>
      </c>
      <c r="D41" s="825" t="s">
        <v>382</v>
      </c>
      <c r="E41" s="825" t="s">
        <v>584</v>
      </c>
      <c r="F41" s="771">
        <v>0</v>
      </c>
      <c r="G41" s="771">
        <v>12</v>
      </c>
      <c r="H41" s="771">
        <v>0</v>
      </c>
      <c r="I41" s="771">
        <v>0</v>
      </c>
      <c r="J41" s="771">
        <v>0</v>
      </c>
      <c r="K41" s="771">
        <v>0</v>
      </c>
      <c r="L41" s="771">
        <v>12</v>
      </c>
      <c r="M41" s="772">
        <v>0.5</v>
      </c>
      <c r="O41" s="825" t="s">
        <v>417</v>
      </c>
      <c r="P41" s="825" t="s">
        <v>384</v>
      </c>
    </row>
    <row r="42" spans="1:16" x14ac:dyDescent="0.25">
      <c r="A42" s="825" t="s">
        <v>418</v>
      </c>
      <c r="B42" s="825" t="s">
        <v>593</v>
      </c>
      <c r="C42" s="825" t="s">
        <v>602</v>
      </c>
      <c r="D42" s="825" t="s">
        <v>603</v>
      </c>
      <c r="E42" s="825" t="s">
        <v>382</v>
      </c>
      <c r="F42" s="771">
        <v>0</v>
      </c>
      <c r="G42" s="771">
        <v>0</v>
      </c>
      <c r="H42" s="771">
        <v>0</v>
      </c>
      <c r="I42" s="771">
        <v>0</v>
      </c>
      <c r="J42" s="771">
        <v>0</v>
      </c>
      <c r="K42" s="771">
        <v>0</v>
      </c>
      <c r="L42" s="771">
        <v>0</v>
      </c>
      <c r="M42" s="772">
        <v>0</v>
      </c>
      <c r="O42" s="825" t="s">
        <v>417</v>
      </c>
      <c r="P42" s="825" t="s">
        <v>419</v>
      </c>
    </row>
    <row r="43" spans="1:16" x14ac:dyDescent="0.25">
      <c r="A43" s="825" t="s">
        <v>420</v>
      </c>
      <c r="B43" s="825" t="s">
        <v>593</v>
      </c>
      <c r="C43" s="825" t="s">
        <v>604</v>
      </c>
      <c r="D43" s="825" t="s">
        <v>382</v>
      </c>
      <c r="E43" s="825" t="s">
        <v>382</v>
      </c>
      <c r="F43" s="771">
        <v>24925</v>
      </c>
      <c r="G43" s="771">
        <v>11641</v>
      </c>
      <c r="H43" s="771">
        <v>5983</v>
      </c>
      <c r="I43" s="771">
        <v>0</v>
      </c>
      <c r="J43" s="771">
        <v>0</v>
      </c>
      <c r="K43" s="771">
        <v>0</v>
      </c>
      <c r="L43" s="771">
        <v>42549</v>
      </c>
      <c r="M43" s="772">
        <v>1648.26</v>
      </c>
      <c r="O43" s="825" t="s">
        <v>421</v>
      </c>
      <c r="P43" s="825" t="s">
        <v>384</v>
      </c>
    </row>
    <row r="44" spans="1:16" x14ac:dyDescent="0.25">
      <c r="A44" s="825" t="s">
        <v>422</v>
      </c>
      <c r="B44" s="825" t="s">
        <v>593</v>
      </c>
      <c r="C44" s="825" t="s">
        <v>604</v>
      </c>
      <c r="D44" s="825" t="s">
        <v>605</v>
      </c>
      <c r="E44" s="825" t="s">
        <v>382</v>
      </c>
      <c r="F44" s="771">
        <v>0</v>
      </c>
      <c r="G44" s="771">
        <v>0</v>
      </c>
      <c r="H44" s="771">
        <v>0</v>
      </c>
      <c r="I44" s="771">
        <v>0</v>
      </c>
      <c r="J44" s="771">
        <v>0</v>
      </c>
      <c r="K44" s="771">
        <v>0</v>
      </c>
      <c r="L44" s="771">
        <v>0</v>
      </c>
      <c r="M44" s="772">
        <v>0</v>
      </c>
      <c r="O44" s="825" t="s">
        <v>421</v>
      </c>
      <c r="P44" s="825" t="s">
        <v>423</v>
      </c>
    </row>
    <row r="45" spans="1:16" x14ac:dyDescent="0.25">
      <c r="A45" s="825" t="s">
        <v>424</v>
      </c>
      <c r="B45" s="825" t="s">
        <v>593</v>
      </c>
      <c r="C45" s="825" t="s">
        <v>606</v>
      </c>
      <c r="D45" s="825" t="s">
        <v>382</v>
      </c>
      <c r="E45" s="825" t="s">
        <v>382</v>
      </c>
      <c r="F45" s="771">
        <v>0</v>
      </c>
      <c r="G45" s="771">
        <v>12322</v>
      </c>
      <c r="H45" s="771">
        <v>5442</v>
      </c>
      <c r="I45" s="771">
        <v>0</v>
      </c>
      <c r="J45" s="771">
        <v>0</v>
      </c>
      <c r="K45" s="771">
        <v>1</v>
      </c>
      <c r="L45" s="771">
        <v>17763</v>
      </c>
      <c r="M45" s="772">
        <v>815.69</v>
      </c>
      <c r="O45" s="825" t="s">
        <v>425</v>
      </c>
      <c r="P45" s="825" t="s">
        <v>384</v>
      </c>
    </row>
    <row r="46" spans="1:16" x14ac:dyDescent="0.25">
      <c r="A46" s="825" t="s">
        <v>424</v>
      </c>
      <c r="B46" s="825" t="s">
        <v>593</v>
      </c>
      <c r="C46" s="825" t="s">
        <v>606</v>
      </c>
      <c r="D46" s="825" t="s">
        <v>382</v>
      </c>
      <c r="E46" s="825" t="s">
        <v>584</v>
      </c>
      <c r="F46" s="771">
        <v>0</v>
      </c>
      <c r="G46" s="771">
        <v>345</v>
      </c>
      <c r="H46" s="771">
        <v>0</v>
      </c>
      <c r="I46" s="771">
        <v>0</v>
      </c>
      <c r="J46" s="771">
        <v>0</v>
      </c>
      <c r="K46" s="771">
        <v>0</v>
      </c>
      <c r="L46" s="771">
        <v>345</v>
      </c>
      <c r="M46" s="772">
        <v>14.38</v>
      </c>
      <c r="O46" s="825" t="s">
        <v>425</v>
      </c>
      <c r="P46" s="825" t="s">
        <v>384</v>
      </c>
    </row>
    <row r="47" spans="1:16" x14ac:dyDescent="0.25">
      <c r="A47" s="825" t="s">
        <v>426</v>
      </c>
      <c r="B47" s="825" t="s">
        <v>593</v>
      </c>
      <c r="C47" s="825" t="s">
        <v>606</v>
      </c>
      <c r="D47" s="825" t="s">
        <v>607</v>
      </c>
      <c r="E47" s="825" t="s">
        <v>382</v>
      </c>
      <c r="F47" s="771">
        <v>0</v>
      </c>
      <c r="G47" s="771">
        <v>3555</v>
      </c>
      <c r="H47" s="771">
        <v>464</v>
      </c>
      <c r="I47" s="771">
        <v>0</v>
      </c>
      <c r="J47" s="771">
        <v>0</v>
      </c>
      <c r="K47" s="771">
        <v>0</v>
      </c>
      <c r="L47" s="771">
        <v>4019</v>
      </c>
      <c r="M47" s="772">
        <v>173.9</v>
      </c>
      <c r="O47" s="825" t="s">
        <v>425</v>
      </c>
      <c r="P47" s="825" t="s">
        <v>427</v>
      </c>
    </row>
    <row r="48" spans="1:16" x14ac:dyDescent="0.25">
      <c r="A48" s="825" t="s">
        <v>428</v>
      </c>
      <c r="B48" s="825" t="s">
        <v>593</v>
      </c>
      <c r="C48" s="825" t="s">
        <v>606</v>
      </c>
      <c r="D48" s="825" t="s">
        <v>603</v>
      </c>
      <c r="E48" s="825" t="s">
        <v>382</v>
      </c>
      <c r="F48" s="771">
        <v>0</v>
      </c>
      <c r="G48" s="771">
        <v>575</v>
      </c>
      <c r="H48" s="771">
        <v>208</v>
      </c>
      <c r="I48" s="771">
        <v>0</v>
      </c>
      <c r="J48" s="771">
        <v>0</v>
      </c>
      <c r="K48" s="771">
        <v>0</v>
      </c>
      <c r="L48" s="771">
        <v>783</v>
      </c>
      <c r="M48" s="772">
        <v>35.51</v>
      </c>
      <c r="O48" s="825" t="s">
        <v>425</v>
      </c>
      <c r="P48" s="825" t="s">
        <v>419</v>
      </c>
    </row>
    <row r="49" spans="1:16" x14ac:dyDescent="0.25">
      <c r="A49" s="825" t="s">
        <v>429</v>
      </c>
      <c r="B49" s="825" t="s">
        <v>593</v>
      </c>
      <c r="C49" s="825" t="s">
        <v>606</v>
      </c>
      <c r="D49" s="825" t="s">
        <v>608</v>
      </c>
      <c r="E49" s="825" t="s">
        <v>382</v>
      </c>
      <c r="F49" s="771">
        <v>0</v>
      </c>
      <c r="G49" s="771">
        <v>2280</v>
      </c>
      <c r="H49" s="771">
        <v>350</v>
      </c>
      <c r="I49" s="771">
        <v>0</v>
      </c>
      <c r="J49" s="771">
        <v>0</v>
      </c>
      <c r="K49" s="771">
        <v>0</v>
      </c>
      <c r="L49" s="771">
        <v>2630</v>
      </c>
      <c r="M49" s="772">
        <v>114.44</v>
      </c>
      <c r="O49" s="825" t="s">
        <v>425</v>
      </c>
      <c r="P49" s="825" t="s">
        <v>430</v>
      </c>
    </row>
    <row r="50" spans="1:16" x14ac:dyDescent="0.25">
      <c r="A50" s="825" t="s">
        <v>431</v>
      </c>
      <c r="B50" s="825" t="s">
        <v>593</v>
      </c>
      <c r="C50" s="825" t="s">
        <v>606</v>
      </c>
      <c r="D50" s="825" t="s">
        <v>605</v>
      </c>
      <c r="E50" s="825" t="s">
        <v>382</v>
      </c>
      <c r="F50" s="771">
        <v>0</v>
      </c>
      <c r="G50" s="771">
        <v>386</v>
      </c>
      <c r="H50" s="771">
        <v>159</v>
      </c>
      <c r="I50" s="771">
        <v>0</v>
      </c>
      <c r="J50" s="771">
        <v>0</v>
      </c>
      <c r="K50" s="771">
        <v>0</v>
      </c>
      <c r="L50" s="771">
        <v>545</v>
      </c>
      <c r="M50" s="772">
        <v>24.92</v>
      </c>
      <c r="O50" s="825" t="s">
        <v>425</v>
      </c>
      <c r="P50" s="825" t="s">
        <v>423</v>
      </c>
    </row>
    <row r="51" spans="1:16" x14ac:dyDescent="0.25">
      <c r="A51" s="825" t="s">
        <v>432</v>
      </c>
      <c r="B51" s="825" t="s">
        <v>593</v>
      </c>
      <c r="C51" s="825" t="s">
        <v>606</v>
      </c>
      <c r="D51" s="825" t="s">
        <v>609</v>
      </c>
      <c r="E51" s="825" t="s">
        <v>382</v>
      </c>
      <c r="F51" s="771">
        <v>0</v>
      </c>
      <c r="G51" s="771">
        <v>2645</v>
      </c>
      <c r="H51" s="771">
        <v>348</v>
      </c>
      <c r="I51" s="771">
        <v>0</v>
      </c>
      <c r="J51" s="771">
        <v>0</v>
      </c>
      <c r="K51" s="771">
        <v>0</v>
      </c>
      <c r="L51" s="771">
        <v>2993</v>
      </c>
      <c r="M51" s="772">
        <v>129.54</v>
      </c>
      <c r="O51" s="825" t="s">
        <v>425</v>
      </c>
      <c r="P51" s="825" t="s">
        <v>433</v>
      </c>
    </row>
    <row r="52" spans="1:16" x14ac:dyDescent="0.25">
      <c r="A52" s="825" t="s">
        <v>402</v>
      </c>
    </row>
    <row r="53" spans="1:16" x14ac:dyDescent="0.25">
      <c r="A53" s="825" t="s">
        <v>389</v>
      </c>
      <c r="B53" s="825" t="s">
        <v>593</v>
      </c>
      <c r="C53" s="825" t="s">
        <v>382</v>
      </c>
      <c r="D53" s="825" t="s">
        <v>382</v>
      </c>
      <c r="E53" s="825" t="s">
        <v>382</v>
      </c>
      <c r="F53" s="771">
        <v>27196</v>
      </c>
      <c r="G53" s="771">
        <v>39827</v>
      </c>
      <c r="H53" s="771">
        <v>21167</v>
      </c>
      <c r="I53" s="771">
        <v>1397</v>
      </c>
      <c r="J53" s="771">
        <v>89</v>
      </c>
      <c r="K53" s="771">
        <v>87</v>
      </c>
      <c r="L53" s="771">
        <v>88103</v>
      </c>
      <c r="M53" s="772">
        <v>5223.09</v>
      </c>
    </row>
    <row r="56" spans="1:16" x14ac:dyDescent="0.25">
      <c r="A56" s="825" t="s">
        <v>434</v>
      </c>
    </row>
    <row r="57" spans="1:16" x14ac:dyDescent="0.25">
      <c r="A57" s="825" t="s">
        <v>435</v>
      </c>
      <c r="B57" s="825" t="s">
        <v>610</v>
      </c>
      <c r="C57" s="825" t="s">
        <v>611</v>
      </c>
      <c r="D57" s="825" t="s">
        <v>382</v>
      </c>
      <c r="E57" s="825" t="s">
        <v>382</v>
      </c>
      <c r="F57" s="771">
        <v>0</v>
      </c>
      <c r="G57" s="771">
        <v>0</v>
      </c>
      <c r="H57" s="771">
        <v>0</v>
      </c>
      <c r="I57" s="771">
        <v>860</v>
      </c>
      <c r="J57" s="771">
        <v>0</v>
      </c>
      <c r="K57" s="771">
        <v>0</v>
      </c>
      <c r="L57" s="771">
        <v>0</v>
      </c>
      <c r="M57" s="772">
        <v>860</v>
      </c>
      <c r="O57" s="825" t="s">
        <v>436</v>
      </c>
      <c r="P57" s="825" t="s">
        <v>384</v>
      </c>
    </row>
    <row r="58" spans="1:16" x14ac:dyDescent="0.25">
      <c r="A58" s="825" t="s">
        <v>437</v>
      </c>
      <c r="B58" s="825" t="s">
        <v>610</v>
      </c>
      <c r="C58" s="825" t="s">
        <v>611</v>
      </c>
      <c r="D58" s="825" t="s">
        <v>612</v>
      </c>
      <c r="E58" s="825" t="s">
        <v>382</v>
      </c>
      <c r="F58" s="771">
        <v>0</v>
      </c>
      <c r="G58" s="771">
        <v>0</v>
      </c>
      <c r="H58" s="771">
        <v>0</v>
      </c>
      <c r="I58" s="771">
        <v>0</v>
      </c>
      <c r="J58" s="771">
        <v>0</v>
      </c>
      <c r="K58" s="771">
        <v>0</v>
      </c>
      <c r="L58" s="771">
        <v>0</v>
      </c>
      <c r="M58" s="772">
        <v>0</v>
      </c>
      <c r="O58" s="825" t="s">
        <v>436</v>
      </c>
      <c r="P58" s="825" t="s">
        <v>438</v>
      </c>
    </row>
    <row r="59" spans="1:16" x14ac:dyDescent="0.25">
      <c r="A59" s="825" t="s">
        <v>439</v>
      </c>
      <c r="B59" s="825" t="s">
        <v>610</v>
      </c>
      <c r="C59" s="825" t="s">
        <v>613</v>
      </c>
      <c r="D59" s="825" t="s">
        <v>382</v>
      </c>
      <c r="E59" s="825" t="s">
        <v>382</v>
      </c>
      <c r="F59" s="771">
        <v>0</v>
      </c>
      <c r="G59" s="771">
        <v>0</v>
      </c>
      <c r="H59" s="771">
        <v>0</v>
      </c>
      <c r="I59" s="771">
        <v>0</v>
      </c>
      <c r="J59" s="771">
        <v>103</v>
      </c>
      <c r="K59" s="771">
        <v>0</v>
      </c>
      <c r="L59" s="771">
        <v>0</v>
      </c>
      <c r="M59" s="772">
        <v>103</v>
      </c>
      <c r="O59" s="825" t="s">
        <v>440</v>
      </c>
      <c r="P59" s="825" t="s">
        <v>384</v>
      </c>
    </row>
    <row r="60" spans="1:16" x14ac:dyDescent="0.25">
      <c r="A60" s="825" t="s">
        <v>443</v>
      </c>
      <c r="B60" s="825" t="s">
        <v>610</v>
      </c>
      <c r="C60" s="825" t="s">
        <v>613</v>
      </c>
      <c r="D60" s="825" t="s">
        <v>614</v>
      </c>
      <c r="E60" s="825" t="s">
        <v>382</v>
      </c>
      <c r="F60" s="771">
        <v>0</v>
      </c>
      <c r="G60" s="771">
        <v>0</v>
      </c>
      <c r="H60" s="771">
        <v>0</v>
      </c>
      <c r="I60" s="771">
        <v>0</v>
      </c>
      <c r="J60" s="771">
        <v>4</v>
      </c>
      <c r="K60" s="771">
        <v>0</v>
      </c>
      <c r="L60" s="771">
        <v>0</v>
      </c>
      <c r="M60" s="772">
        <v>4</v>
      </c>
      <c r="O60" s="825" t="s">
        <v>440</v>
      </c>
      <c r="P60" s="825" t="s">
        <v>444</v>
      </c>
    </row>
    <row r="61" spans="1:16" x14ac:dyDescent="0.25">
      <c r="A61" s="825" t="s">
        <v>439</v>
      </c>
      <c r="B61" s="825" t="s">
        <v>610</v>
      </c>
      <c r="C61" s="825" t="s">
        <v>615</v>
      </c>
      <c r="D61" s="825" t="s">
        <v>382</v>
      </c>
      <c r="E61" s="825" t="s">
        <v>382</v>
      </c>
      <c r="F61" s="771">
        <v>0</v>
      </c>
      <c r="G61" s="771">
        <v>0</v>
      </c>
      <c r="H61" s="771">
        <v>0</v>
      </c>
      <c r="I61" s="771">
        <v>411</v>
      </c>
      <c r="J61" s="771">
        <v>0</v>
      </c>
      <c r="K61" s="771">
        <v>0</v>
      </c>
      <c r="L61" s="771">
        <v>0</v>
      </c>
      <c r="M61" s="772">
        <v>411</v>
      </c>
      <c r="O61" s="825" t="s">
        <v>441</v>
      </c>
      <c r="P61" s="825" t="s">
        <v>384</v>
      </c>
    </row>
    <row r="62" spans="1:16" x14ac:dyDescent="0.25">
      <c r="A62" s="825" t="s">
        <v>442</v>
      </c>
      <c r="B62" s="825" t="s">
        <v>610</v>
      </c>
      <c r="C62" s="825" t="s">
        <v>615</v>
      </c>
      <c r="D62" s="825" t="s">
        <v>612</v>
      </c>
      <c r="E62" s="825" t="s">
        <v>382</v>
      </c>
      <c r="F62" s="771">
        <v>0</v>
      </c>
      <c r="G62" s="771">
        <v>0</v>
      </c>
      <c r="H62" s="771">
        <v>0</v>
      </c>
      <c r="I62" s="771">
        <v>0</v>
      </c>
      <c r="J62" s="771">
        <v>0</v>
      </c>
      <c r="K62" s="771">
        <v>0</v>
      </c>
      <c r="L62" s="771">
        <v>0</v>
      </c>
      <c r="M62" s="772">
        <v>0</v>
      </c>
      <c r="O62" s="825" t="s">
        <v>441</v>
      </c>
      <c r="P62" s="825" t="s">
        <v>438</v>
      </c>
    </row>
    <row r="63" spans="1:16" x14ac:dyDescent="0.25">
      <c r="A63" s="825" t="s">
        <v>443</v>
      </c>
      <c r="B63" s="825" t="s">
        <v>610</v>
      </c>
      <c r="C63" s="825" t="s">
        <v>615</v>
      </c>
      <c r="D63" s="825" t="s">
        <v>614</v>
      </c>
      <c r="E63" s="825" t="s">
        <v>382</v>
      </c>
      <c r="F63" s="771">
        <v>0</v>
      </c>
      <c r="G63" s="771">
        <v>0</v>
      </c>
      <c r="H63" s="771">
        <v>0</v>
      </c>
      <c r="I63" s="771">
        <v>0</v>
      </c>
      <c r="J63" s="771">
        <v>0</v>
      </c>
      <c r="K63" s="771">
        <v>0</v>
      </c>
      <c r="L63" s="771">
        <v>0</v>
      </c>
      <c r="M63" s="772">
        <v>0</v>
      </c>
      <c r="O63" s="825" t="s">
        <v>441</v>
      </c>
      <c r="P63" s="825" t="s">
        <v>444</v>
      </c>
    </row>
    <row r="64" spans="1:16" x14ac:dyDescent="0.25">
      <c r="A64" s="825" t="s">
        <v>445</v>
      </c>
      <c r="B64" s="825" t="s">
        <v>610</v>
      </c>
      <c r="C64" s="825" t="s">
        <v>616</v>
      </c>
      <c r="D64" s="825" t="s">
        <v>382</v>
      </c>
      <c r="E64" s="825" t="s">
        <v>382</v>
      </c>
      <c r="F64" s="771">
        <v>0</v>
      </c>
      <c r="G64" s="771">
        <v>1449</v>
      </c>
      <c r="H64" s="771">
        <v>4323</v>
      </c>
      <c r="I64" s="771">
        <v>0</v>
      </c>
      <c r="J64" s="771">
        <v>0</v>
      </c>
      <c r="K64" s="771">
        <v>0</v>
      </c>
      <c r="L64" s="771">
        <v>5772</v>
      </c>
      <c r="M64" s="772">
        <v>300.54000000000002</v>
      </c>
      <c r="O64" s="825" t="s">
        <v>446</v>
      </c>
      <c r="P64" s="825" t="s">
        <v>384</v>
      </c>
    </row>
    <row r="65" spans="1:16" x14ac:dyDescent="0.25">
      <c r="A65" s="825" t="s">
        <v>445</v>
      </c>
      <c r="B65" s="825" t="s">
        <v>610</v>
      </c>
      <c r="C65" s="825" t="s">
        <v>616</v>
      </c>
      <c r="D65" s="825" t="s">
        <v>382</v>
      </c>
      <c r="E65" s="825" t="s">
        <v>584</v>
      </c>
      <c r="F65" s="771">
        <v>0</v>
      </c>
      <c r="G65" s="771">
        <v>0</v>
      </c>
      <c r="H65" s="771">
        <v>4</v>
      </c>
      <c r="I65" s="771">
        <v>0</v>
      </c>
      <c r="J65" s="771">
        <v>0</v>
      </c>
      <c r="K65" s="771">
        <v>0</v>
      </c>
      <c r="L65" s="771">
        <v>4</v>
      </c>
      <c r="M65" s="772">
        <v>0.22</v>
      </c>
      <c r="O65" s="825" t="s">
        <v>446</v>
      </c>
      <c r="P65" s="825" t="s">
        <v>384</v>
      </c>
    </row>
    <row r="66" spans="1:16" x14ac:dyDescent="0.25">
      <c r="A66" s="825" t="s">
        <v>447</v>
      </c>
      <c r="B66" s="825" t="s">
        <v>610</v>
      </c>
      <c r="C66" s="825" t="s">
        <v>617</v>
      </c>
      <c r="D66" s="825" t="s">
        <v>382</v>
      </c>
      <c r="E66" s="825" t="s">
        <v>382</v>
      </c>
      <c r="F66" s="771">
        <v>6389</v>
      </c>
      <c r="G66" s="771">
        <v>17804</v>
      </c>
      <c r="H66" s="771">
        <v>5352</v>
      </c>
      <c r="I66" s="771">
        <v>0</v>
      </c>
      <c r="J66" s="771">
        <v>0</v>
      </c>
      <c r="K66" s="771">
        <v>0</v>
      </c>
      <c r="L66" s="771">
        <v>29545</v>
      </c>
      <c r="M66" s="772">
        <v>1252.1300000000001</v>
      </c>
      <c r="O66" s="825" t="s">
        <v>448</v>
      </c>
      <c r="P66" s="825" t="s">
        <v>384</v>
      </c>
    </row>
    <row r="67" spans="1:16" x14ac:dyDescent="0.25">
      <c r="A67" s="825" t="s">
        <v>447</v>
      </c>
      <c r="B67" s="825" t="s">
        <v>610</v>
      </c>
      <c r="C67" s="825" t="s">
        <v>617</v>
      </c>
      <c r="D67" s="825" t="s">
        <v>382</v>
      </c>
      <c r="E67" s="825" t="s">
        <v>618</v>
      </c>
      <c r="F67" s="771">
        <v>1427</v>
      </c>
      <c r="G67" s="771">
        <v>0</v>
      </c>
      <c r="H67" s="771">
        <v>0</v>
      </c>
      <c r="I67" s="771">
        <v>0</v>
      </c>
      <c r="J67" s="771">
        <v>0</v>
      </c>
      <c r="K67" s="771">
        <v>0</v>
      </c>
      <c r="L67" s="771">
        <v>1427</v>
      </c>
      <c r="M67" s="772">
        <v>47.57</v>
      </c>
      <c r="O67" s="825" t="s">
        <v>448</v>
      </c>
      <c r="P67" s="825" t="s">
        <v>384</v>
      </c>
    </row>
    <row r="68" spans="1:16" x14ac:dyDescent="0.25">
      <c r="A68" s="825" t="s">
        <v>447</v>
      </c>
      <c r="B68" s="825" t="s">
        <v>610</v>
      </c>
      <c r="C68" s="825" t="s">
        <v>619</v>
      </c>
      <c r="D68" s="825" t="s">
        <v>382</v>
      </c>
      <c r="E68" s="825" t="s">
        <v>382</v>
      </c>
      <c r="F68" s="771">
        <v>0</v>
      </c>
      <c r="G68" s="771">
        <v>181</v>
      </c>
      <c r="H68" s="771">
        <v>0</v>
      </c>
      <c r="I68" s="771">
        <v>0</v>
      </c>
      <c r="J68" s="771">
        <v>0</v>
      </c>
      <c r="K68" s="771">
        <v>0</v>
      </c>
      <c r="L68" s="771">
        <v>181</v>
      </c>
      <c r="M68" s="772">
        <v>7.54</v>
      </c>
      <c r="O68" s="825" t="s">
        <v>449</v>
      </c>
      <c r="P68" s="825" t="s">
        <v>384</v>
      </c>
    </row>
    <row r="69" spans="1:16" x14ac:dyDescent="0.25">
      <c r="A69" s="825" t="s">
        <v>222</v>
      </c>
      <c r="B69" s="825" t="s">
        <v>610</v>
      </c>
      <c r="C69" s="825" t="s">
        <v>619</v>
      </c>
      <c r="D69" s="825" t="s">
        <v>620</v>
      </c>
      <c r="E69" s="825" t="s">
        <v>382</v>
      </c>
      <c r="F69" s="771">
        <v>0</v>
      </c>
      <c r="G69" s="771">
        <v>17</v>
      </c>
      <c r="H69" s="771">
        <v>0</v>
      </c>
      <c r="I69" s="771">
        <v>0</v>
      </c>
      <c r="J69" s="771">
        <v>0</v>
      </c>
      <c r="K69" s="771">
        <v>0</v>
      </c>
      <c r="L69" s="771">
        <v>17</v>
      </c>
      <c r="M69" s="772">
        <v>0.71</v>
      </c>
      <c r="O69" s="825" t="s">
        <v>449</v>
      </c>
      <c r="P69" s="825" t="s">
        <v>450</v>
      </c>
    </row>
    <row r="70" spans="1:16" x14ac:dyDescent="0.25">
      <c r="A70" s="825" t="s">
        <v>451</v>
      </c>
      <c r="B70" s="825" t="s">
        <v>610</v>
      </c>
      <c r="C70" s="825" t="s">
        <v>621</v>
      </c>
      <c r="D70" s="825" t="s">
        <v>382</v>
      </c>
      <c r="E70" s="825" t="s">
        <v>382</v>
      </c>
      <c r="F70" s="771">
        <v>1242</v>
      </c>
      <c r="G70" s="771">
        <v>0</v>
      </c>
      <c r="H70" s="771">
        <v>0</v>
      </c>
      <c r="I70" s="771">
        <v>0</v>
      </c>
      <c r="J70" s="771">
        <v>0</v>
      </c>
      <c r="K70" s="771">
        <v>0</v>
      </c>
      <c r="L70" s="771">
        <v>1242</v>
      </c>
      <c r="M70" s="772">
        <v>41.4</v>
      </c>
      <c r="O70" s="825" t="s">
        <v>449</v>
      </c>
      <c r="P70" s="825" t="s">
        <v>384</v>
      </c>
    </row>
    <row r="71" spans="1:16" x14ac:dyDescent="0.25">
      <c r="A71" s="825" t="s">
        <v>452</v>
      </c>
      <c r="B71" s="825" t="s">
        <v>610</v>
      </c>
      <c r="C71" s="825" t="s">
        <v>617</v>
      </c>
      <c r="D71" s="825" t="s">
        <v>612</v>
      </c>
      <c r="E71" s="825" t="s">
        <v>382</v>
      </c>
      <c r="F71" s="771">
        <v>0</v>
      </c>
      <c r="G71" s="771">
        <v>0</v>
      </c>
      <c r="H71" s="771">
        <v>0</v>
      </c>
      <c r="I71" s="771">
        <v>0</v>
      </c>
      <c r="J71" s="771">
        <v>0</v>
      </c>
      <c r="K71" s="771">
        <v>0</v>
      </c>
      <c r="L71" s="771">
        <v>0</v>
      </c>
      <c r="M71" s="772">
        <v>0</v>
      </c>
      <c r="O71" s="825" t="s">
        <v>448</v>
      </c>
      <c r="P71" s="825" t="s">
        <v>438</v>
      </c>
    </row>
    <row r="72" spans="1:16" x14ac:dyDescent="0.25">
      <c r="A72" s="825" t="s">
        <v>453</v>
      </c>
      <c r="B72" s="825" t="s">
        <v>610</v>
      </c>
      <c r="C72" s="825" t="s">
        <v>617</v>
      </c>
      <c r="D72" s="825" t="s">
        <v>614</v>
      </c>
      <c r="E72" s="825" t="s">
        <v>382</v>
      </c>
      <c r="F72" s="771">
        <v>12</v>
      </c>
      <c r="G72" s="771">
        <v>285</v>
      </c>
      <c r="H72" s="771">
        <v>12</v>
      </c>
      <c r="I72" s="771">
        <v>0</v>
      </c>
      <c r="J72" s="771">
        <v>0</v>
      </c>
      <c r="K72" s="771">
        <v>0</v>
      </c>
      <c r="L72" s="771">
        <v>309</v>
      </c>
      <c r="M72" s="772">
        <v>12.94</v>
      </c>
      <c r="O72" s="825" t="s">
        <v>448</v>
      </c>
      <c r="P72" s="825" t="s">
        <v>444</v>
      </c>
    </row>
    <row r="73" spans="1:16" x14ac:dyDescent="0.25">
      <c r="A73" s="825" t="s">
        <v>454</v>
      </c>
      <c r="B73" s="825" t="s">
        <v>610</v>
      </c>
      <c r="C73" s="825" t="s">
        <v>622</v>
      </c>
      <c r="D73" s="825" t="s">
        <v>382</v>
      </c>
      <c r="E73" s="825" t="s">
        <v>382</v>
      </c>
      <c r="F73" s="771">
        <v>19363</v>
      </c>
      <c r="G73" s="771">
        <v>1490</v>
      </c>
      <c r="H73" s="771">
        <v>3745</v>
      </c>
      <c r="I73" s="771">
        <v>0</v>
      </c>
      <c r="J73" s="771">
        <v>0</v>
      </c>
      <c r="K73" s="771">
        <v>0</v>
      </c>
      <c r="L73" s="771">
        <v>24598</v>
      </c>
      <c r="M73" s="772">
        <v>915.57</v>
      </c>
      <c r="O73" s="825" t="s">
        <v>455</v>
      </c>
      <c r="P73" s="825" t="s">
        <v>384</v>
      </c>
    </row>
    <row r="74" spans="1:16" x14ac:dyDescent="0.25">
      <c r="A74" s="825" t="s">
        <v>227</v>
      </c>
      <c r="B74" s="825" t="s">
        <v>610</v>
      </c>
      <c r="C74" s="825" t="s">
        <v>622</v>
      </c>
      <c r="D74" s="825" t="s">
        <v>614</v>
      </c>
      <c r="E74" s="825" t="s">
        <v>382</v>
      </c>
      <c r="F74" s="771">
        <v>0</v>
      </c>
      <c r="G74" s="771">
        <v>74</v>
      </c>
      <c r="H74" s="771">
        <v>0</v>
      </c>
      <c r="I74" s="771">
        <v>0</v>
      </c>
      <c r="J74" s="771">
        <v>0</v>
      </c>
      <c r="K74" s="771">
        <v>0</v>
      </c>
      <c r="L74" s="771">
        <v>74</v>
      </c>
      <c r="M74" s="772">
        <v>3.08</v>
      </c>
      <c r="O74" s="825" t="s">
        <v>455</v>
      </c>
      <c r="P74" s="825" t="s">
        <v>444</v>
      </c>
    </row>
    <row r="75" spans="1:16" x14ac:dyDescent="0.25">
      <c r="A75" s="825" t="s">
        <v>434</v>
      </c>
    </row>
    <row r="76" spans="1:16" x14ac:dyDescent="0.25">
      <c r="A76" s="825" t="s">
        <v>389</v>
      </c>
      <c r="B76" s="825" t="s">
        <v>610</v>
      </c>
      <c r="C76" s="825" t="s">
        <v>382</v>
      </c>
      <c r="D76" s="825" t="s">
        <v>382</v>
      </c>
      <c r="E76" s="825" t="s">
        <v>382</v>
      </c>
      <c r="F76" s="771">
        <v>28433</v>
      </c>
      <c r="G76" s="771">
        <v>21300</v>
      </c>
      <c r="H76" s="771">
        <v>13436</v>
      </c>
      <c r="I76" s="771">
        <v>1271</v>
      </c>
      <c r="J76" s="771">
        <v>107</v>
      </c>
      <c r="K76" s="771">
        <v>0</v>
      </c>
      <c r="L76" s="771">
        <v>63169</v>
      </c>
      <c r="M76" s="772">
        <v>3959.7</v>
      </c>
    </row>
    <row r="79" spans="1:16" x14ac:dyDescent="0.25">
      <c r="A79" s="825" t="s">
        <v>456</v>
      </c>
    </row>
    <row r="80" spans="1:16" x14ac:dyDescent="0.25">
      <c r="A80" s="825" t="s">
        <v>457</v>
      </c>
      <c r="B80" s="825" t="s">
        <v>623</v>
      </c>
      <c r="C80" s="825" t="s">
        <v>623</v>
      </c>
      <c r="D80" s="825" t="s">
        <v>382</v>
      </c>
      <c r="E80" s="825" t="s">
        <v>382</v>
      </c>
      <c r="F80" s="771">
        <v>10866</v>
      </c>
      <c r="G80" s="771">
        <v>726</v>
      </c>
      <c r="H80" s="771">
        <v>0</v>
      </c>
      <c r="I80" s="771">
        <v>0</v>
      </c>
      <c r="J80" s="771">
        <v>0</v>
      </c>
      <c r="K80" s="771">
        <v>0</v>
      </c>
      <c r="L80" s="771">
        <v>11592</v>
      </c>
      <c r="M80" s="772">
        <v>392.45</v>
      </c>
      <c r="O80" s="825" t="s">
        <v>458</v>
      </c>
      <c r="P80" s="825" t="s">
        <v>384</v>
      </c>
    </row>
    <row r="81" spans="1:16" x14ac:dyDescent="0.25">
      <c r="A81" s="825" t="s">
        <v>456</v>
      </c>
    </row>
    <row r="82" spans="1:16" x14ac:dyDescent="0.25">
      <c r="A82" s="825" t="s">
        <v>389</v>
      </c>
      <c r="B82" s="825" t="s">
        <v>623</v>
      </c>
      <c r="C82" s="825" t="s">
        <v>382</v>
      </c>
      <c r="D82" s="825" t="s">
        <v>382</v>
      </c>
      <c r="E82" s="825" t="s">
        <v>382</v>
      </c>
      <c r="F82" s="771">
        <v>10866</v>
      </c>
      <c r="G82" s="771">
        <v>726</v>
      </c>
      <c r="H82" s="771">
        <v>0</v>
      </c>
      <c r="I82" s="771">
        <v>0</v>
      </c>
      <c r="J82" s="771">
        <v>0</v>
      </c>
      <c r="K82" s="771">
        <v>0</v>
      </c>
      <c r="L82" s="771">
        <v>11592</v>
      </c>
      <c r="M82" s="772">
        <v>392.45</v>
      </c>
    </row>
    <row r="85" spans="1:16" x14ac:dyDescent="0.25">
      <c r="A85" s="825" t="s">
        <v>459</v>
      </c>
    </row>
    <row r="86" spans="1:16" x14ac:dyDescent="0.25">
      <c r="A86" s="825" t="s">
        <v>460</v>
      </c>
      <c r="B86" s="825" t="s">
        <v>624</v>
      </c>
      <c r="C86" s="825" t="s">
        <v>625</v>
      </c>
      <c r="D86" s="825" t="s">
        <v>382</v>
      </c>
      <c r="E86" s="825" t="s">
        <v>382</v>
      </c>
      <c r="F86" s="771">
        <v>0</v>
      </c>
      <c r="G86" s="771">
        <v>226</v>
      </c>
      <c r="H86" s="771">
        <v>0</v>
      </c>
      <c r="I86" s="771">
        <v>0</v>
      </c>
      <c r="J86" s="771">
        <v>0</v>
      </c>
      <c r="K86" s="771">
        <v>0</v>
      </c>
      <c r="L86" s="771">
        <v>226</v>
      </c>
      <c r="M86" s="772">
        <v>9.42</v>
      </c>
      <c r="O86" s="825" t="s">
        <v>461</v>
      </c>
      <c r="P86" s="825" t="s">
        <v>384</v>
      </c>
    </row>
    <row r="87" spans="1:16" x14ac:dyDescent="0.25">
      <c r="A87" s="825" t="s">
        <v>462</v>
      </c>
      <c r="B87" s="825" t="s">
        <v>624</v>
      </c>
      <c r="C87" s="825" t="s">
        <v>626</v>
      </c>
      <c r="D87" s="825" t="s">
        <v>382</v>
      </c>
      <c r="E87" s="825" t="s">
        <v>382</v>
      </c>
      <c r="F87" s="771">
        <v>0</v>
      </c>
      <c r="G87" s="771">
        <v>1419</v>
      </c>
      <c r="H87" s="771">
        <v>0</v>
      </c>
      <c r="I87" s="771">
        <v>0</v>
      </c>
      <c r="J87" s="771">
        <v>0</v>
      </c>
      <c r="K87" s="771">
        <v>0</v>
      </c>
      <c r="L87" s="771">
        <v>1419</v>
      </c>
      <c r="M87" s="772">
        <v>59.13</v>
      </c>
      <c r="O87" s="825" t="s">
        <v>463</v>
      </c>
      <c r="P87" s="825" t="s">
        <v>384</v>
      </c>
    </row>
    <row r="88" spans="1:16" x14ac:dyDescent="0.25">
      <c r="A88" s="825" t="s">
        <v>459</v>
      </c>
    </row>
    <row r="89" spans="1:16" x14ac:dyDescent="0.25">
      <c r="A89" s="825" t="s">
        <v>389</v>
      </c>
      <c r="B89" s="825" t="s">
        <v>624</v>
      </c>
      <c r="C89" s="825" t="s">
        <v>382</v>
      </c>
      <c r="D89" s="825" t="s">
        <v>382</v>
      </c>
      <c r="E89" s="825" t="s">
        <v>382</v>
      </c>
      <c r="F89" s="771">
        <v>0</v>
      </c>
      <c r="G89" s="771">
        <v>1645</v>
      </c>
      <c r="H89" s="771">
        <v>0</v>
      </c>
      <c r="I89" s="771">
        <v>0</v>
      </c>
      <c r="J89" s="771">
        <v>0</v>
      </c>
      <c r="K89" s="771">
        <v>0</v>
      </c>
      <c r="L89" s="771">
        <v>1645</v>
      </c>
      <c r="M89" s="772">
        <v>68.55</v>
      </c>
    </row>
    <row r="92" spans="1:16" x14ac:dyDescent="0.25">
      <c r="A92" s="825" t="s">
        <v>464</v>
      </c>
    </row>
    <row r="93" spans="1:16" x14ac:dyDescent="0.25">
      <c r="A93" s="825" t="s">
        <v>465</v>
      </c>
      <c r="B93" s="825" t="s">
        <v>627</v>
      </c>
      <c r="C93" s="825" t="s">
        <v>628</v>
      </c>
      <c r="D93" s="825" t="s">
        <v>382</v>
      </c>
      <c r="E93" s="825" t="s">
        <v>382</v>
      </c>
      <c r="F93" s="771">
        <v>0</v>
      </c>
      <c r="G93" s="771">
        <v>0</v>
      </c>
      <c r="H93" s="771">
        <v>0</v>
      </c>
      <c r="I93" s="771">
        <v>220</v>
      </c>
      <c r="J93" s="771">
        <v>0</v>
      </c>
      <c r="K93" s="771">
        <v>0</v>
      </c>
      <c r="L93" s="771">
        <v>0</v>
      </c>
      <c r="M93" s="772">
        <v>220</v>
      </c>
      <c r="O93" s="825" t="s">
        <v>466</v>
      </c>
      <c r="P93" s="825" t="s">
        <v>384</v>
      </c>
    </row>
    <row r="94" spans="1:16" x14ac:dyDescent="0.25">
      <c r="A94" s="825" t="s">
        <v>467</v>
      </c>
      <c r="B94" s="825" t="s">
        <v>627</v>
      </c>
      <c r="C94" s="825" t="s">
        <v>628</v>
      </c>
      <c r="D94" s="825" t="s">
        <v>629</v>
      </c>
      <c r="E94" s="825" t="s">
        <v>382</v>
      </c>
      <c r="F94" s="771">
        <v>0</v>
      </c>
      <c r="G94" s="771">
        <v>0</v>
      </c>
      <c r="H94" s="771">
        <v>0</v>
      </c>
      <c r="I94" s="771">
        <v>118</v>
      </c>
      <c r="J94" s="771">
        <v>0</v>
      </c>
      <c r="K94" s="771">
        <v>0</v>
      </c>
      <c r="L94" s="771">
        <v>0</v>
      </c>
      <c r="M94" s="772">
        <v>118</v>
      </c>
      <c r="O94" s="825" t="s">
        <v>466</v>
      </c>
      <c r="P94" s="825" t="s">
        <v>468</v>
      </c>
    </row>
    <row r="95" spans="1:16" x14ac:dyDescent="0.25">
      <c r="A95" s="825" t="s">
        <v>469</v>
      </c>
      <c r="B95" s="825" t="s">
        <v>627</v>
      </c>
      <c r="C95" s="825" t="s">
        <v>628</v>
      </c>
      <c r="D95" s="825" t="s">
        <v>630</v>
      </c>
      <c r="E95" s="825" t="s">
        <v>382</v>
      </c>
      <c r="F95" s="771">
        <v>0</v>
      </c>
      <c r="G95" s="771">
        <v>0</v>
      </c>
      <c r="H95" s="771">
        <v>0</v>
      </c>
      <c r="I95" s="771">
        <v>134</v>
      </c>
      <c r="J95" s="771">
        <v>0</v>
      </c>
      <c r="K95" s="771">
        <v>0</v>
      </c>
      <c r="L95" s="771">
        <v>0</v>
      </c>
      <c r="M95" s="772">
        <v>134</v>
      </c>
      <c r="O95" s="825" t="s">
        <v>466</v>
      </c>
      <c r="P95" s="825" t="s">
        <v>470</v>
      </c>
    </row>
    <row r="96" spans="1:16" x14ac:dyDescent="0.25">
      <c r="A96" s="825" t="s">
        <v>471</v>
      </c>
      <c r="B96" s="825" t="s">
        <v>627</v>
      </c>
      <c r="C96" s="825" t="s">
        <v>628</v>
      </c>
      <c r="D96" s="825" t="s">
        <v>631</v>
      </c>
      <c r="E96" s="825" t="s">
        <v>382</v>
      </c>
      <c r="F96" s="771">
        <v>0</v>
      </c>
      <c r="G96" s="771">
        <v>0</v>
      </c>
      <c r="H96" s="771">
        <v>0</v>
      </c>
      <c r="I96" s="771">
        <v>22</v>
      </c>
      <c r="J96" s="771">
        <v>0</v>
      </c>
      <c r="K96" s="771">
        <v>0</v>
      </c>
      <c r="L96" s="771">
        <v>0</v>
      </c>
      <c r="M96" s="772">
        <v>22</v>
      </c>
      <c r="O96" s="825" t="s">
        <v>466</v>
      </c>
      <c r="P96" s="825" t="s">
        <v>472</v>
      </c>
    </row>
    <row r="97" spans="1:16" x14ac:dyDescent="0.25">
      <c r="A97" s="825" t="s">
        <v>473</v>
      </c>
      <c r="B97" s="825" t="s">
        <v>627</v>
      </c>
      <c r="C97" s="825" t="s">
        <v>628</v>
      </c>
      <c r="D97" s="825" t="s">
        <v>632</v>
      </c>
      <c r="E97" s="825" t="s">
        <v>382</v>
      </c>
      <c r="F97" s="771">
        <v>0</v>
      </c>
      <c r="G97" s="771">
        <v>0</v>
      </c>
      <c r="H97" s="771">
        <v>0</v>
      </c>
      <c r="I97" s="771">
        <v>88</v>
      </c>
      <c r="J97" s="771">
        <v>0</v>
      </c>
      <c r="K97" s="771">
        <v>0</v>
      </c>
      <c r="L97" s="771">
        <v>0</v>
      </c>
      <c r="M97" s="772">
        <v>88</v>
      </c>
      <c r="O97" s="825" t="s">
        <v>466</v>
      </c>
      <c r="P97" s="825" t="s">
        <v>474</v>
      </c>
    </row>
    <row r="98" spans="1:16" x14ac:dyDescent="0.25">
      <c r="A98" s="825" t="s">
        <v>475</v>
      </c>
      <c r="B98" s="825" t="s">
        <v>627</v>
      </c>
      <c r="C98" s="825" t="s">
        <v>633</v>
      </c>
      <c r="D98" s="825" t="s">
        <v>629</v>
      </c>
      <c r="E98" s="825" t="s">
        <v>382</v>
      </c>
      <c r="F98" s="771">
        <v>0</v>
      </c>
      <c r="G98" s="771">
        <v>0</v>
      </c>
      <c r="H98" s="771">
        <v>0</v>
      </c>
      <c r="I98" s="771">
        <v>416</v>
      </c>
      <c r="J98" s="771">
        <v>0</v>
      </c>
      <c r="K98" s="771">
        <v>0</v>
      </c>
      <c r="L98" s="771">
        <v>0</v>
      </c>
      <c r="M98" s="772">
        <v>416</v>
      </c>
      <c r="O98" s="825" t="s">
        <v>476</v>
      </c>
      <c r="P98" s="825" t="s">
        <v>468</v>
      </c>
    </row>
    <row r="99" spans="1:16" x14ac:dyDescent="0.25">
      <c r="A99" s="825" t="s">
        <v>475</v>
      </c>
      <c r="B99" s="825" t="s">
        <v>627</v>
      </c>
      <c r="C99" s="825" t="s">
        <v>634</v>
      </c>
      <c r="D99" s="825" t="s">
        <v>629</v>
      </c>
      <c r="E99" s="825" t="s">
        <v>382</v>
      </c>
      <c r="F99" s="771">
        <v>0</v>
      </c>
      <c r="G99" s="771">
        <v>0</v>
      </c>
      <c r="H99" s="771">
        <v>0</v>
      </c>
      <c r="I99" s="771">
        <v>0</v>
      </c>
      <c r="J99" s="771">
        <v>91</v>
      </c>
      <c r="K99" s="771">
        <v>0</v>
      </c>
      <c r="L99" s="771">
        <v>0</v>
      </c>
      <c r="M99" s="772">
        <v>91</v>
      </c>
      <c r="O99" s="825" t="s">
        <v>477</v>
      </c>
      <c r="P99" s="825" t="s">
        <v>468</v>
      </c>
    </row>
    <row r="100" spans="1:16" x14ac:dyDescent="0.25">
      <c r="A100" s="825" t="s">
        <v>478</v>
      </c>
      <c r="B100" s="825" t="s">
        <v>627</v>
      </c>
      <c r="C100" s="825" t="s">
        <v>627</v>
      </c>
      <c r="D100" s="825" t="s">
        <v>382</v>
      </c>
      <c r="E100" s="825" t="s">
        <v>382</v>
      </c>
      <c r="F100" s="771">
        <v>0</v>
      </c>
      <c r="G100" s="771">
        <v>0</v>
      </c>
      <c r="H100" s="771">
        <v>0</v>
      </c>
      <c r="I100" s="771">
        <v>0</v>
      </c>
      <c r="J100" s="771">
        <v>0</v>
      </c>
      <c r="K100" s="771">
        <v>0</v>
      </c>
      <c r="L100" s="771">
        <v>0</v>
      </c>
      <c r="M100" s="772">
        <v>0</v>
      </c>
      <c r="O100" s="825" t="s">
        <v>479</v>
      </c>
      <c r="P100" s="825" t="s">
        <v>384</v>
      </c>
    </row>
    <row r="101" spans="1:16" x14ac:dyDescent="0.25">
      <c r="A101" s="825" t="s">
        <v>478</v>
      </c>
      <c r="B101" s="825" t="s">
        <v>627</v>
      </c>
      <c r="C101" s="825" t="s">
        <v>635</v>
      </c>
      <c r="D101" s="825" t="s">
        <v>382</v>
      </c>
      <c r="E101" s="825" t="s">
        <v>382</v>
      </c>
      <c r="F101" s="771">
        <v>0</v>
      </c>
      <c r="G101" s="771">
        <v>710</v>
      </c>
      <c r="H101" s="771">
        <v>750</v>
      </c>
      <c r="I101" s="771">
        <v>0</v>
      </c>
      <c r="J101" s="771">
        <v>0</v>
      </c>
      <c r="K101" s="771">
        <v>23</v>
      </c>
      <c r="L101" s="771">
        <v>1437</v>
      </c>
      <c r="M101" s="772">
        <v>69.97</v>
      </c>
      <c r="O101" s="825" t="s">
        <v>479</v>
      </c>
      <c r="P101" s="825" t="s">
        <v>384</v>
      </c>
    </row>
    <row r="102" spans="1:16" x14ac:dyDescent="0.25">
      <c r="A102" s="825" t="s">
        <v>478</v>
      </c>
      <c r="B102" s="825" t="s">
        <v>627</v>
      </c>
      <c r="C102" s="825" t="s">
        <v>635</v>
      </c>
      <c r="D102" s="825" t="s">
        <v>382</v>
      </c>
      <c r="E102" s="825" t="s">
        <v>636</v>
      </c>
      <c r="F102" s="771">
        <v>0</v>
      </c>
      <c r="G102" s="771">
        <v>157</v>
      </c>
      <c r="H102" s="771">
        <v>0</v>
      </c>
      <c r="I102" s="771">
        <v>0</v>
      </c>
      <c r="J102" s="771">
        <v>0</v>
      </c>
      <c r="K102" s="771">
        <v>0</v>
      </c>
      <c r="L102" s="771">
        <v>157</v>
      </c>
      <c r="M102" s="772">
        <v>6.54</v>
      </c>
      <c r="O102" s="825" t="s">
        <v>479</v>
      </c>
      <c r="P102" s="825" t="s">
        <v>384</v>
      </c>
    </row>
    <row r="103" spans="1:16" x14ac:dyDescent="0.25">
      <c r="A103" s="825" t="s">
        <v>482</v>
      </c>
      <c r="B103" s="825" t="s">
        <v>627</v>
      </c>
      <c r="C103" s="825" t="s">
        <v>635</v>
      </c>
      <c r="D103" s="825" t="s">
        <v>630</v>
      </c>
      <c r="E103" s="825" t="s">
        <v>382</v>
      </c>
      <c r="F103" s="771">
        <v>0</v>
      </c>
      <c r="G103" s="771">
        <v>178</v>
      </c>
      <c r="H103" s="771">
        <v>566</v>
      </c>
      <c r="I103" s="771">
        <v>0</v>
      </c>
      <c r="J103" s="771">
        <v>0</v>
      </c>
      <c r="K103" s="771">
        <v>25</v>
      </c>
      <c r="L103" s="771">
        <v>719</v>
      </c>
      <c r="M103" s="772">
        <v>37.47</v>
      </c>
      <c r="O103" s="825" t="s">
        <v>479</v>
      </c>
      <c r="P103" s="825" t="s">
        <v>470</v>
      </c>
    </row>
    <row r="104" spans="1:16" x14ac:dyDescent="0.25">
      <c r="A104" s="825" t="s">
        <v>482</v>
      </c>
      <c r="B104" s="825" t="s">
        <v>627</v>
      </c>
      <c r="C104" s="825" t="s">
        <v>635</v>
      </c>
      <c r="D104" s="825" t="s">
        <v>630</v>
      </c>
      <c r="E104" s="825" t="s">
        <v>636</v>
      </c>
      <c r="F104" s="771">
        <v>0</v>
      </c>
      <c r="G104" s="771">
        <v>5</v>
      </c>
      <c r="H104" s="771">
        <v>0</v>
      </c>
      <c r="I104" s="771">
        <v>0</v>
      </c>
      <c r="J104" s="771">
        <v>0</v>
      </c>
      <c r="K104" s="771">
        <v>0</v>
      </c>
      <c r="L104" s="771">
        <v>5</v>
      </c>
      <c r="M104" s="772">
        <v>0.21</v>
      </c>
      <c r="O104" s="825" t="s">
        <v>479</v>
      </c>
      <c r="P104" s="825" t="s">
        <v>470</v>
      </c>
    </row>
    <row r="105" spans="1:16" x14ac:dyDescent="0.25">
      <c r="A105" s="825" t="s">
        <v>483</v>
      </c>
      <c r="B105" s="825" t="s">
        <v>627</v>
      </c>
      <c r="C105" s="825" t="s">
        <v>635</v>
      </c>
      <c r="D105" s="825" t="s">
        <v>632</v>
      </c>
      <c r="E105" s="825" t="s">
        <v>382</v>
      </c>
      <c r="F105" s="771">
        <v>0</v>
      </c>
      <c r="G105" s="771">
        <v>2</v>
      </c>
      <c r="H105" s="771">
        <v>29</v>
      </c>
      <c r="I105" s="771">
        <v>0</v>
      </c>
      <c r="J105" s="771">
        <v>0</v>
      </c>
      <c r="K105" s="771">
        <v>0</v>
      </c>
      <c r="L105" s="771">
        <v>31</v>
      </c>
      <c r="M105" s="772">
        <v>1.69</v>
      </c>
      <c r="O105" s="825" t="s">
        <v>479</v>
      </c>
      <c r="P105" s="825" t="s">
        <v>474</v>
      </c>
    </row>
    <row r="106" spans="1:16" x14ac:dyDescent="0.25">
      <c r="A106" s="825" t="s">
        <v>483</v>
      </c>
      <c r="B106" s="825" t="s">
        <v>627</v>
      </c>
      <c r="C106" s="825" t="s">
        <v>635</v>
      </c>
      <c r="D106" s="825" t="s">
        <v>632</v>
      </c>
      <c r="E106" s="825" t="s">
        <v>636</v>
      </c>
      <c r="F106" s="771">
        <v>0</v>
      </c>
      <c r="G106" s="771">
        <v>1</v>
      </c>
      <c r="H106" s="771">
        <v>0</v>
      </c>
      <c r="I106" s="771">
        <v>0</v>
      </c>
      <c r="J106" s="771">
        <v>0</v>
      </c>
      <c r="K106" s="771">
        <v>0</v>
      </c>
      <c r="L106" s="771">
        <v>1</v>
      </c>
      <c r="M106" s="772">
        <v>0.04</v>
      </c>
      <c r="O106" s="825" t="s">
        <v>479</v>
      </c>
      <c r="P106" s="825" t="s">
        <v>474</v>
      </c>
    </row>
    <row r="107" spans="1:16" x14ac:dyDescent="0.25">
      <c r="A107" s="825" t="s">
        <v>480</v>
      </c>
      <c r="B107" s="825" t="s">
        <v>627</v>
      </c>
      <c r="C107" s="825" t="s">
        <v>637</v>
      </c>
      <c r="D107" s="825" t="s">
        <v>629</v>
      </c>
      <c r="E107" s="825" t="s">
        <v>382</v>
      </c>
      <c r="F107" s="771">
        <v>0</v>
      </c>
      <c r="G107" s="771">
        <v>64</v>
      </c>
      <c r="H107" s="771">
        <v>282</v>
      </c>
      <c r="I107" s="771">
        <v>0</v>
      </c>
      <c r="J107" s="771">
        <v>0</v>
      </c>
      <c r="K107" s="771">
        <v>23</v>
      </c>
      <c r="L107" s="771">
        <v>323</v>
      </c>
      <c r="M107" s="772">
        <v>17.059999999999999</v>
      </c>
      <c r="O107" s="825" t="s">
        <v>477</v>
      </c>
      <c r="P107" s="825" t="s">
        <v>468</v>
      </c>
    </row>
    <row r="108" spans="1:16" x14ac:dyDescent="0.25">
      <c r="A108" s="825" t="s">
        <v>484</v>
      </c>
      <c r="B108" s="825" t="s">
        <v>627</v>
      </c>
      <c r="C108" s="825" t="s">
        <v>638</v>
      </c>
      <c r="D108" s="825" t="s">
        <v>629</v>
      </c>
      <c r="E108" s="825" t="s">
        <v>382</v>
      </c>
      <c r="F108" s="771">
        <v>1949</v>
      </c>
      <c r="G108" s="771">
        <v>0</v>
      </c>
      <c r="H108" s="771">
        <v>0</v>
      </c>
      <c r="I108" s="771">
        <v>0</v>
      </c>
      <c r="J108" s="771">
        <v>0</v>
      </c>
      <c r="K108" s="771">
        <v>0</v>
      </c>
      <c r="L108" s="771">
        <v>1949</v>
      </c>
      <c r="M108" s="772">
        <v>64.97</v>
      </c>
      <c r="O108" s="825" t="s">
        <v>485</v>
      </c>
      <c r="P108" s="825" t="s">
        <v>468</v>
      </c>
    </row>
    <row r="109" spans="1:16" x14ac:dyDescent="0.25">
      <c r="A109" s="825" t="s">
        <v>486</v>
      </c>
      <c r="B109" s="825" t="s">
        <v>627</v>
      </c>
      <c r="C109" s="825" t="s">
        <v>639</v>
      </c>
      <c r="D109" s="825" t="s">
        <v>382</v>
      </c>
      <c r="E109" s="825" t="s">
        <v>382</v>
      </c>
      <c r="F109" s="771">
        <v>8514</v>
      </c>
      <c r="G109" s="771">
        <v>2005</v>
      </c>
      <c r="H109" s="771">
        <v>0</v>
      </c>
      <c r="I109" s="771">
        <v>0</v>
      </c>
      <c r="J109" s="771">
        <v>0</v>
      </c>
      <c r="K109" s="771">
        <v>0</v>
      </c>
      <c r="L109" s="771">
        <v>10519</v>
      </c>
      <c r="M109" s="772">
        <v>367.34</v>
      </c>
      <c r="O109" s="825" t="s">
        <v>487</v>
      </c>
      <c r="P109" s="825" t="s">
        <v>384</v>
      </c>
    </row>
    <row r="110" spans="1:16" x14ac:dyDescent="0.25">
      <c r="A110" s="825" t="s">
        <v>486</v>
      </c>
      <c r="B110" s="825" t="s">
        <v>627</v>
      </c>
      <c r="C110" s="825" t="s">
        <v>639</v>
      </c>
      <c r="D110" s="825" t="s">
        <v>382</v>
      </c>
      <c r="E110" s="825" t="s">
        <v>636</v>
      </c>
      <c r="F110" s="771">
        <v>3</v>
      </c>
      <c r="G110" s="771">
        <v>3</v>
      </c>
      <c r="H110" s="771">
        <v>0</v>
      </c>
      <c r="I110" s="771">
        <v>0</v>
      </c>
      <c r="J110" s="771">
        <v>0</v>
      </c>
      <c r="K110" s="771">
        <v>0</v>
      </c>
      <c r="L110" s="771">
        <v>6</v>
      </c>
      <c r="M110" s="772">
        <v>0.23</v>
      </c>
      <c r="O110" s="825" t="s">
        <v>487</v>
      </c>
      <c r="P110" s="825" t="s">
        <v>384</v>
      </c>
    </row>
    <row r="111" spans="1:16" x14ac:dyDescent="0.25">
      <c r="A111" s="825" t="s">
        <v>488</v>
      </c>
      <c r="B111" s="825" t="s">
        <v>627</v>
      </c>
      <c r="C111" s="825" t="s">
        <v>639</v>
      </c>
      <c r="D111" s="825" t="s">
        <v>631</v>
      </c>
      <c r="E111" s="825" t="s">
        <v>382</v>
      </c>
      <c r="F111" s="771">
        <v>3352</v>
      </c>
      <c r="G111" s="771">
        <v>0</v>
      </c>
      <c r="H111" s="771">
        <v>0</v>
      </c>
      <c r="I111" s="771">
        <v>0</v>
      </c>
      <c r="J111" s="771">
        <v>0</v>
      </c>
      <c r="K111" s="771">
        <v>0</v>
      </c>
      <c r="L111" s="771">
        <v>3352</v>
      </c>
      <c r="M111" s="772">
        <v>111.73</v>
      </c>
      <c r="O111" s="825" t="s">
        <v>487</v>
      </c>
      <c r="P111" s="825" t="s">
        <v>472</v>
      </c>
    </row>
    <row r="112" spans="1:16" x14ac:dyDescent="0.25">
      <c r="A112" s="825" t="s">
        <v>489</v>
      </c>
      <c r="B112" s="825" t="s">
        <v>627</v>
      </c>
      <c r="C112" s="825" t="s">
        <v>639</v>
      </c>
      <c r="D112" s="825" t="s">
        <v>640</v>
      </c>
      <c r="E112" s="825" t="s">
        <v>382</v>
      </c>
      <c r="F112" s="771">
        <v>0</v>
      </c>
      <c r="G112" s="771">
        <v>0</v>
      </c>
      <c r="H112" s="771">
        <v>0</v>
      </c>
      <c r="I112" s="771">
        <v>0</v>
      </c>
      <c r="J112" s="771">
        <v>0</v>
      </c>
      <c r="K112" s="771">
        <v>0</v>
      </c>
      <c r="L112" s="771">
        <v>0</v>
      </c>
      <c r="M112" s="772">
        <v>0</v>
      </c>
      <c r="O112" s="825" t="s">
        <v>487</v>
      </c>
      <c r="P112" s="825" t="s">
        <v>490</v>
      </c>
    </row>
    <row r="113" spans="1:16" x14ac:dyDescent="0.25">
      <c r="A113" s="825" t="s">
        <v>491</v>
      </c>
      <c r="B113" s="825" t="s">
        <v>627</v>
      </c>
      <c r="C113" s="825" t="s">
        <v>641</v>
      </c>
      <c r="D113" s="825" t="s">
        <v>382</v>
      </c>
      <c r="E113" s="825" t="s">
        <v>382</v>
      </c>
      <c r="F113" s="771">
        <v>0</v>
      </c>
      <c r="G113" s="771">
        <v>6136</v>
      </c>
      <c r="H113" s="771">
        <v>0</v>
      </c>
      <c r="I113" s="771">
        <v>0</v>
      </c>
      <c r="J113" s="771">
        <v>0</v>
      </c>
      <c r="K113" s="771">
        <v>0</v>
      </c>
      <c r="L113" s="771">
        <v>6136</v>
      </c>
      <c r="M113" s="772">
        <v>255.67</v>
      </c>
      <c r="O113" s="825" t="s">
        <v>492</v>
      </c>
      <c r="P113" s="825" t="s">
        <v>384</v>
      </c>
    </row>
    <row r="114" spans="1:16" x14ac:dyDescent="0.25">
      <c r="A114" s="825" t="s">
        <v>494</v>
      </c>
      <c r="B114" s="825" t="s">
        <v>627</v>
      </c>
      <c r="C114" s="825" t="s">
        <v>641</v>
      </c>
      <c r="D114" s="825" t="s">
        <v>642</v>
      </c>
      <c r="E114" s="825" t="s">
        <v>382</v>
      </c>
      <c r="F114" s="771">
        <v>0</v>
      </c>
      <c r="G114" s="771">
        <v>10073</v>
      </c>
      <c r="H114" s="771">
        <v>0</v>
      </c>
      <c r="I114" s="771">
        <v>0</v>
      </c>
      <c r="J114" s="771">
        <v>0</v>
      </c>
      <c r="K114" s="771">
        <v>0</v>
      </c>
      <c r="L114" s="771">
        <v>10073</v>
      </c>
      <c r="M114" s="772">
        <v>419.71</v>
      </c>
      <c r="O114" s="825" t="s">
        <v>492</v>
      </c>
      <c r="P114" s="825" t="s">
        <v>495</v>
      </c>
    </row>
    <row r="115" spans="1:16" x14ac:dyDescent="0.25">
      <c r="A115" s="825" t="s">
        <v>497</v>
      </c>
      <c r="B115" s="825" t="s">
        <v>627</v>
      </c>
      <c r="C115" s="825" t="s">
        <v>643</v>
      </c>
      <c r="D115" s="825" t="s">
        <v>382</v>
      </c>
      <c r="E115" s="825" t="s">
        <v>382</v>
      </c>
      <c r="F115" s="771">
        <v>11102</v>
      </c>
      <c r="G115" s="771">
        <v>6911</v>
      </c>
      <c r="H115" s="771">
        <v>922</v>
      </c>
      <c r="I115" s="771">
        <v>0</v>
      </c>
      <c r="J115" s="771">
        <v>0</v>
      </c>
      <c r="K115" s="771">
        <v>0</v>
      </c>
      <c r="L115" s="771">
        <v>18935</v>
      </c>
      <c r="M115" s="772">
        <v>709.25</v>
      </c>
      <c r="O115" s="825" t="s">
        <v>498</v>
      </c>
      <c r="P115" s="825" t="s">
        <v>384</v>
      </c>
    </row>
    <row r="116" spans="1:16" x14ac:dyDescent="0.25">
      <c r="A116" s="825" t="s">
        <v>497</v>
      </c>
      <c r="B116" s="825" t="s">
        <v>627</v>
      </c>
      <c r="C116" s="825" t="s">
        <v>643</v>
      </c>
      <c r="D116" s="825" t="s">
        <v>382</v>
      </c>
      <c r="E116" s="825" t="s">
        <v>636</v>
      </c>
      <c r="F116" s="771">
        <v>5732</v>
      </c>
      <c r="G116" s="771">
        <v>449</v>
      </c>
      <c r="H116" s="771">
        <v>0</v>
      </c>
      <c r="I116" s="771">
        <v>0</v>
      </c>
      <c r="J116" s="771">
        <v>0</v>
      </c>
      <c r="K116" s="771">
        <v>0</v>
      </c>
      <c r="L116" s="771">
        <v>6181</v>
      </c>
      <c r="M116" s="772">
        <v>209.78</v>
      </c>
      <c r="O116" s="825" t="s">
        <v>498</v>
      </c>
      <c r="P116" s="825" t="s">
        <v>384</v>
      </c>
    </row>
    <row r="117" spans="1:16" x14ac:dyDescent="0.25">
      <c r="A117" s="825" t="s">
        <v>499</v>
      </c>
      <c r="B117" s="825" t="s">
        <v>627</v>
      </c>
      <c r="C117" s="825" t="s">
        <v>643</v>
      </c>
      <c r="D117" s="825" t="s">
        <v>629</v>
      </c>
      <c r="E117" s="825" t="s">
        <v>382</v>
      </c>
      <c r="F117" s="771">
        <v>0</v>
      </c>
      <c r="G117" s="771">
        <v>0</v>
      </c>
      <c r="H117" s="771">
        <v>0</v>
      </c>
      <c r="I117" s="771">
        <v>0</v>
      </c>
      <c r="J117" s="771">
        <v>0</v>
      </c>
      <c r="K117" s="771">
        <v>0</v>
      </c>
      <c r="L117" s="771">
        <v>0</v>
      </c>
      <c r="M117" s="772">
        <v>0</v>
      </c>
      <c r="O117" s="825" t="s">
        <v>498</v>
      </c>
      <c r="P117" s="825" t="s">
        <v>468</v>
      </c>
    </row>
    <row r="118" spans="1:16" x14ac:dyDescent="0.25">
      <c r="A118" s="825" t="s">
        <v>500</v>
      </c>
      <c r="B118" s="825" t="s">
        <v>627</v>
      </c>
      <c r="C118" s="825" t="s">
        <v>643</v>
      </c>
      <c r="D118" s="825" t="s">
        <v>644</v>
      </c>
      <c r="E118" s="825" t="s">
        <v>382</v>
      </c>
      <c r="F118" s="771">
        <v>0</v>
      </c>
      <c r="G118" s="771">
        <v>0</v>
      </c>
      <c r="H118" s="771">
        <v>0</v>
      </c>
      <c r="I118" s="771">
        <v>0</v>
      </c>
      <c r="J118" s="771">
        <v>0</v>
      </c>
      <c r="K118" s="771">
        <v>0</v>
      </c>
      <c r="L118" s="771">
        <v>0</v>
      </c>
      <c r="M118" s="772">
        <v>0</v>
      </c>
      <c r="O118" s="825" t="s">
        <v>498</v>
      </c>
      <c r="P118" s="825" t="s">
        <v>501</v>
      </c>
    </row>
    <row r="119" spans="1:16" x14ac:dyDescent="0.25">
      <c r="A119" s="825" t="s">
        <v>502</v>
      </c>
      <c r="B119" s="825" t="s">
        <v>627</v>
      </c>
      <c r="C119" s="825" t="s">
        <v>643</v>
      </c>
      <c r="D119" s="825" t="s">
        <v>630</v>
      </c>
      <c r="E119" s="825" t="s">
        <v>382</v>
      </c>
      <c r="F119" s="771">
        <v>0</v>
      </c>
      <c r="G119" s="771">
        <v>520</v>
      </c>
      <c r="H119" s="771">
        <v>0</v>
      </c>
      <c r="I119" s="771">
        <v>0</v>
      </c>
      <c r="J119" s="771">
        <v>0</v>
      </c>
      <c r="K119" s="771">
        <v>0</v>
      </c>
      <c r="L119" s="771">
        <v>520</v>
      </c>
      <c r="M119" s="772">
        <v>21.67</v>
      </c>
      <c r="O119" s="825" t="s">
        <v>498</v>
      </c>
      <c r="P119" s="825" t="s">
        <v>470</v>
      </c>
    </row>
    <row r="120" spans="1:16" x14ac:dyDescent="0.25">
      <c r="A120" s="825" t="s">
        <v>503</v>
      </c>
      <c r="B120" s="825" t="s">
        <v>627</v>
      </c>
      <c r="C120" s="825" t="s">
        <v>643</v>
      </c>
      <c r="D120" s="825" t="s">
        <v>631</v>
      </c>
      <c r="E120" s="825" t="s">
        <v>382</v>
      </c>
      <c r="F120" s="771">
        <v>0</v>
      </c>
      <c r="G120" s="771">
        <v>0</v>
      </c>
      <c r="H120" s="771">
        <v>0</v>
      </c>
      <c r="I120" s="771">
        <v>0</v>
      </c>
      <c r="J120" s="771">
        <v>0</v>
      </c>
      <c r="K120" s="771">
        <v>0</v>
      </c>
      <c r="L120" s="771">
        <v>0</v>
      </c>
      <c r="M120" s="772">
        <v>0</v>
      </c>
      <c r="O120" s="825" t="s">
        <v>498</v>
      </c>
      <c r="P120" s="825" t="s">
        <v>472</v>
      </c>
    </row>
    <row r="121" spans="1:16" x14ac:dyDescent="0.25">
      <c r="A121" s="825" t="s">
        <v>504</v>
      </c>
      <c r="B121" s="825" t="s">
        <v>627</v>
      </c>
      <c r="C121" s="825" t="s">
        <v>643</v>
      </c>
      <c r="D121" s="825" t="s">
        <v>632</v>
      </c>
      <c r="E121" s="825" t="s">
        <v>382</v>
      </c>
      <c r="F121" s="771">
        <v>0</v>
      </c>
      <c r="G121" s="771">
        <v>0</v>
      </c>
      <c r="H121" s="771">
        <v>0</v>
      </c>
      <c r="I121" s="771">
        <v>0</v>
      </c>
      <c r="J121" s="771">
        <v>0</v>
      </c>
      <c r="K121" s="771">
        <v>0</v>
      </c>
      <c r="L121" s="771">
        <v>0</v>
      </c>
      <c r="M121" s="772">
        <v>0</v>
      </c>
      <c r="O121" s="825" t="s">
        <v>498</v>
      </c>
      <c r="P121" s="825" t="s">
        <v>474</v>
      </c>
    </row>
    <row r="122" spans="1:16" x14ac:dyDescent="0.25">
      <c r="A122" s="825" t="s">
        <v>505</v>
      </c>
      <c r="B122" s="825" t="s">
        <v>627</v>
      </c>
      <c r="C122" s="825" t="s">
        <v>643</v>
      </c>
      <c r="D122" s="825" t="s">
        <v>640</v>
      </c>
      <c r="E122" s="825" t="s">
        <v>382</v>
      </c>
      <c r="F122" s="771">
        <v>335</v>
      </c>
      <c r="G122" s="771">
        <v>45</v>
      </c>
      <c r="H122" s="771">
        <v>0</v>
      </c>
      <c r="I122" s="771">
        <v>0</v>
      </c>
      <c r="J122" s="771">
        <v>0</v>
      </c>
      <c r="K122" s="771">
        <v>0</v>
      </c>
      <c r="L122" s="771">
        <v>380</v>
      </c>
      <c r="M122" s="772">
        <v>13.04</v>
      </c>
      <c r="O122" s="825" t="s">
        <v>498</v>
      </c>
      <c r="P122" s="825" t="s">
        <v>490</v>
      </c>
    </row>
    <row r="123" spans="1:16" x14ac:dyDescent="0.25">
      <c r="A123" s="825" t="s">
        <v>505</v>
      </c>
      <c r="B123" s="825" t="s">
        <v>627</v>
      </c>
      <c r="C123" s="825" t="s">
        <v>643</v>
      </c>
      <c r="D123" s="825" t="s">
        <v>640</v>
      </c>
      <c r="E123" s="825" t="s">
        <v>636</v>
      </c>
      <c r="F123" s="771">
        <v>426</v>
      </c>
      <c r="G123" s="771">
        <v>0</v>
      </c>
      <c r="H123" s="771">
        <v>0</v>
      </c>
      <c r="I123" s="771">
        <v>0</v>
      </c>
      <c r="J123" s="771">
        <v>0</v>
      </c>
      <c r="K123" s="771">
        <v>0</v>
      </c>
      <c r="L123" s="771">
        <v>426</v>
      </c>
      <c r="M123" s="772">
        <v>14.2</v>
      </c>
      <c r="O123" s="825" t="s">
        <v>498</v>
      </c>
      <c r="P123" s="825" t="s">
        <v>490</v>
      </c>
    </row>
    <row r="124" spans="1:16" x14ac:dyDescent="0.25">
      <c r="A124" s="825" t="s">
        <v>464</v>
      </c>
    </row>
    <row r="125" spans="1:16" x14ac:dyDescent="0.25">
      <c r="A125" s="825" t="s">
        <v>389</v>
      </c>
      <c r="B125" s="825" t="s">
        <v>627</v>
      </c>
      <c r="C125" s="825" t="s">
        <v>382</v>
      </c>
      <c r="D125" s="825" t="s">
        <v>382</v>
      </c>
      <c r="E125" s="825" t="s">
        <v>382</v>
      </c>
      <c r="F125" s="771">
        <v>31413</v>
      </c>
      <c r="G125" s="771">
        <v>27259</v>
      </c>
      <c r="H125" s="771">
        <v>2549</v>
      </c>
      <c r="I125" s="771">
        <v>998</v>
      </c>
      <c r="J125" s="771">
        <v>91</v>
      </c>
      <c r="K125" s="771">
        <v>71</v>
      </c>
      <c r="L125" s="771">
        <v>61150</v>
      </c>
      <c r="M125" s="772">
        <v>3409.57</v>
      </c>
    </row>
    <row r="128" spans="1:16" x14ac:dyDescent="0.25">
      <c r="A128" s="825" t="s">
        <v>506</v>
      </c>
    </row>
    <row r="129" spans="1:16" x14ac:dyDescent="0.25">
      <c r="A129" s="825" t="s">
        <v>507</v>
      </c>
      <c r="B129" s="825" t="s">
        <v>645</v>
      </c>
      <c r="C129" s="825" t="s">
        <v>646</v>
      </c>
      <c r="D129" s="825" t="s">
        <v>382</v>
      </c>
      <c r="E129" s="825" t="s">
        <v>382</v>
      </c>
      <c r="F129" s="771">
        <v>0</v>
      </c>
      <c r="G129" s="771">
        <v>0</v>
      </c>
      <c r="H129" s="771">
        <v>0</v>
      </c>
      <c r="I129" s="771">
        <v>945</v>
      </c>
      <c r="J129" s="771">
        <v>0</v>
      </c>
      <c r="K129" s="771">
        <v>0</v>
      </c>
      <c r="L129" s="771">
        <v>0</v>
      </c>
      <c r="M129" s="772">
        <v>945</v>
      </c>
      <c r="O129" s="825" t="s">
        <v>508</v>
      </c>
      <c r="P129" s="825" t="s">
        <v>384</v>
      </c>
    </row>
    <row r="130" spans="1:16" x14ac:dyDescent="0.25">
      <c r="A130" s="825" t="s">
        <v>509</v>
      </c>
      <c r="B130" s="825" t="s">
        <v>645</v>
      </c>
      <c r="C130" s="825" t="s">
        <v>647</v>
      </c>
      <c r="D130" s="825" t="s">
        <v>382</v>
      </c>
      <c r="E130" s="825" t="s">
        <v>382</v>
      </c>
      <c r="F130" s="771">
        <v>0</v>
      </c>
      <c r="G130" s="771">
        <v>11453</v>
      </c>
      <c r="H130" s="771">
        <v>1751</v>
      </c>
      <c r="I130" s="771">
        <v>0</v>
      </c>
      <c r="J130" s="771">
        <v>0</v>
      </c>
      <c r="K130" s="771">
        <v>84</v>
      </c>
      <c r="L130" s="771">
        <v>13120</v>
      </c>
      <c r="M130" s="772">
        <v>569.82000000000005</v>
      </c>
      <c r="O130" s="825" t="s">
        <v>510</v>
      </c>
      <c r="P130" s="825" t="s">
        <v>384</v>
      </c>
    </row>
    <row r="131" spans="1:16" x14ac:dyDescent="0.25">
      <c r="A131" s="825" t="s">
        <v>509</v>
      </c>
      <c r="B131" s="825" t="s">
        <v>645</v>
      </c>
      <c r="C131" s="825" t="s">
        <v>647</v>
      </c>
      <c r="D131" s="825" t="s">
        <v>382</v>
      </c>
      <c r="E131" s="825" t="s">
        <v>584</v>
      </c>
      <c r="F131" s="771">
        <v>0</v>
      </c>
      <c r="G131" s="771">
        <v>5</v>
      </c>
      <c r="H131" s="771">
        <v>156</v>
      </c>
      <c r="I131" s="771">
        <v>0</v>
      </c>
      <c r="J131" s="771">
        <v>0</v>
      </c>
      <c r="K131" s="771">
        <v>3</v>
      </c>
      <c r="L131" s="771">
        <v>158</v>
      </c>
      <c r="M131" s="772">
        <v>8.7100000000000009</v>
      </c>
      <c r="O131" s="825" t="s">
        <v>510</v>
      </c>
      <c r="P131" s="825" t="s">
        <v>384</v>
      </c>
    </row>
    <row r="132" spans="1:16" x14ac:dyDescent="0.25">
      <c r="A132" s="825" t="s">
        <v>511</v>
      </c>
      <c r="B132" s="825" t="s">
        <v>645</v>
      </c>
      <c r="C132" s="825" t="s">
        <v>648</v>
      </c>
      <c r="D132" s="825" t="s">
        <v>382</v>
      </c>
      <c r="E132" s="825" t="s">
        <v>382</v>
      </c>
      <c r="F132" s="771">
        <v>0</v>
      </c>
      <c r="G132" s="771">
        <v>14287</v>
      </c>
      <c r="H132" s="771">
        <v>0</v>
      </c>
      <c r="I132" s="771">
        <v>0</v>
      </c>
      <c r="J132" s="771">
        <v>0</v>
      </c>
      <c r="K132" s="771">
        <v>0</v>
      </c>
      <c r="L132" s="771">
        <v>14287</v>
      </c>
      <c r="M132" s="772">
        <v>595.29</v>
      </c>
      <c r="O132" s="825" t="s">
        <v>512</v>
      </c>
      <c r="P132" s="825" t="s">
        <v>384</v>
      </c>
    </row>
    <row r="133" spans="1:16" x14ac:dyDescent="0.25">
      <c r="A133" s="825" t="s">
        <v>511</v>
      </c>
      <c r="B133" s="825" t="s">
        <v>645</v>
      </c>
      <c r="C133" s="825" t="s">
        <v>648</v>
      </c>
      <c r="D133" s="825" t="s">
        <v>382</v>
      </c>
      <c r="E133" s="825" t="s">
        <v>618</v>
      </c>
      <c r="F133" s="771">
        <v>0</v>
      </c>
      <c r="G133" s="771">
        <v>217</v>
      </c>
      <c r="H133" s="771">
        <v>0</v>
      </c>
      <c r="I133" s="771">
        <v>0</v>
      </c>
      <c r="J133" s="771">
        <v>0</v>
      </c>
      <c r="K133" s="771">
        <v>0</v>
      </c>
      <c r="L133" s="771">
        <v>217</v>
      </c>
      <c r="M133" s="772">
        <v>9.0399999999999991</v>
      </c>
      <c r="O133" s="825" t="s">
        <v>512</v>
      </c>
      <c r="P133" s="825" t="s">
        <v>384</v>
      </c>
    </row>
    <row r="134" spans="1:16" x14ac:dyDescent="0.25">
      <c r="A134" s="825" t="s">
        <v>513</v>
      </c>
      <c r="B134" s="825" t="s">
        <v>645</v>
      </c>
      <c r="C134" s="825" t="s">
        <v>649</v>
      </c>
      <c r="D134" s="825" t="s">
        <v>382</v>
      </c>
      <c r="E134" s="825" t="s">
        <v>382</v>
      </c>
      <c r="F134" s="771">
        <v>0</v>
      </c>
      <c r="G134" s="771">
        <v>14936</v>
      </c>
      <c r="H134" s="771">
        <v>0</v>
      </c>
      <c r="I134" s="771">
        <v>0</v>
      </c>
      <c r="J134" s="771">
        <v>0</v>
      </c>
      <c r="K134" s="771">
        <v>0</v>
      </c>
      <c r="L134" s="771">
        <v>14936</v>
      </c>
      <c r="M134" s="772">
        <v>622.33000000000004</v>
      </c>
      <c r="O134" s="825" t="s">
        <v>514</v>
      </c>
      <c r="P134" s="825" t="s">
        <v>384</v>
      </c>
    </row>
    <row r="135" spans="1:16" x14ac:dyDescent="0.25">
      <c r="A135" s="825" t="s">
        <v>513</v>
      </c>
      <c r="B135" s="825" t="s">
        <v>645</v>
      </c>
      <c r="C135" s="825" t="s">
        <v>649</v>
      </c>
      <c r="D135" s="825" t="s">
        <v>382</v>
      </c>
      <c r="E135" s="825" t="s">
        <v>618</v>
      </c>
      <c r="F135" s="771">
        <v>0</v>
      </c>
      <c r="G135" s="771">
        <v>30</v>
      </c>
      <c r="H135" s="771">
        <v>0</v>
      </c>
      <c r="I135" s="771">
        <v>0</v>
      </c>
      <c r="J135" s="771">
        <v>0</v>
      </c>
      <c r="K135" s="771">
        <v>0</v>
      </c>
      <c r="L135" s="771">
        <v>30</v>
      </c>
      <c r="M135" s="772">
        <v>1.25</v>
      </c>
      <c r="O135" s="825" t="s">
        <v>514</v>
      </c>
      <c r="P135" s="825" t="s">
        <v>384</v>
      </c>
    </row>
    <row r="136" spans="1:16" x14ac:dyDescent="0.25">
      <c r="A136" s="825" t="s">
        <v>515</v>
      </c>
      <c r="B136" s="825" t="s">
        <v>645</v>
      </c>
      <c r="C136" s="825" t="s">
        <v>650</v>
      </c>
      <c r="D136" s="825" t="s">
        <v>382</v>
      </c>
      <c r="E136" s="825" t="s">
        <v>382</v>
      </c>
      <c r="F136" s="771">
        <v>0</v>
      </c>
      <c r="G136" s="771">
        <v>2764</v>
      </c>
      <c r="H136" s="771">
        <v>167</v>
      </c>
      <c r="I136" s="771">
        <v>0</v>
      </c>
      <c r="J136" s="771">
        <v>0</v>
      </c>
      <c r="K136" s="771">
        <v>0</v>
      </c>
      <c r="L136" s="771">
        <v>2931</v>
      </c>
      <c r="M136" s="772">
        <v>124.45</v>
      </c>
      <c r="O136" s="825" t="s">
        <v>516</v>
      </c>
      <c r="P136" s="825" t="s">
        <v>384</v>
      </c>
    </row>
    <row r="137" spans="1:16" x14ac:dyDescent="0.25">
      <c r="A137" s="825" t="s">
        <v>515</v>
      </c>
      <c r="B137" s="825" t="s">
        <v>645</v>
      </c>
      <c r="C137" s="825" t="s">
        <v>650</v>
      </c>
      <c r="D137" s="825" t="s">
        <v>382</v>
      </c>
      <c r="E137" s="825" t="s">
        <v>618</v>
      </c>
      <c r="F137" s="771">
        <v>0</v>
      </c>
      <c r="G137" s="771">
        <v>1438</v>
      </c>
      <c r="H137" s="771">
        <v>32</v>
      </c>
      <c r="I137" s="771">
        <v>0</v>
      </c>
      <c r="J137" s="771">
        <v>0</v>
      </c>
      <c r="K137" s="771">
        <v>0</v>
      </c>
      <c r="L137" s="771">
        <v>1470</v>
      </c>
      <c r="M137" s="772">
        <v>61.69</v>
      </c>
      <c r="O137" s="825" t="s">
        <v>516</v>
      </c>
      <c r="P137" s="825" t="s">
        <v>384</v>
      </c>
    </row>
    <row r="138" spans="1:16" x14ac:dyDescent="0.25">
      <c r="A138" s="825" t="s">
        <v>515</v>
      </c>
      <c r="B138" s="825" t="s">
        <v>645</v>
      </c>
      <c r="C138" s="825" t="s">
        <v>650</v>
      </c>
      <c r="D138" s="825" t="s">
        <v>382</v>
      </c>
      <c r="E138" s="825" t="s">
        <v>584</v>
      </c>
      <c r="F138" s="771">
        <v>0</v>
      </c>
      <c r="G138" s="771">
        <v>145</v>
      </c>
      <c r="H138" s="771">
        <v>0</v>
      </c>
      <c r="I138" s="771">
        <v>0</v>
      </c>
      <c r="J138" s="771">
        <v>0</v>
      </c>
      <c r="K138" s="771">
        <v>0</v>
      </c>
      <c r="L138" s="771">
        <v>145</v>
      </c>
      <c r="M138" s="772">
        <v>6.04</v>
      </c>
      <c r="O138" s="825" t="s">
        <v>516</v>
      </c>
      <c r="P138" s="825" t="s">
        <v>384</v>
      </c>
    </row>
    <row r="139" spans="1:16" x14ac:dyDescent="0.25">
      <c r="A139" s="825" t="s">
        <v>506</v>
      </c>
    </row>
    <row r="140" spans="1:16" x14ac:dyDescent="0.25">
      <c r="A140" s="825" t="s">
        <v>389</v>
      </c>
      <c r="B140" s="825" t="s">
        <v>645</v>
      </c>
      <c r="C140" s="825" t="s">
        <v>382</v>
      </c>
      <c r="D140" s="825" t="s">
        <v>382</v>
      </c>
      <c r="E140" s="825" t="s">
        <v>382</v>
      </c>
      <c r="F140" s="771">
        <v>0</v>
      </c>
      <c r="G140" s="771">
        <v>45275</v>
      </c>
      <c r="H140" s="771">
        <v>2106</v>
      </c>
      <c r="I140" s="771">
        <v>945</v>
      </c>
      <c r="J140" s="771">
        <v>0</v>
      </c>
      <c r="K140" s="771">
        <v>87</v>
      </c>
      <c r="L140" s="771">
        <v>47294</v>
      </c>
      <c r="M140" s="772">
        <v>2943.62</v>
      </c>
    </row>
    <row r="143" spans="1:16" x14ac:dyDescent="0.25">
      <c r="A143" s="825" t="s">
        <v>517</v>
      </c>
    </row>
    <row r="144" spans="1:16" x14ac:dyDescent="0.25">
      <c r="A144" s="825" t="s">
        <v>518</v>
      </c>
      <c r="B144" s="825" t="s">
        <v>651</v>
      </c>
      <c r="C144" s="825" t="s">
        <v>652</v>
      </c>
      <c r="D144" s="825" t="s">
        <v>382</v>
      </c>
      <c r="E144" s="825" t="s">
        <v>382</v>
      </c>
      <c r="F144" s="771">
        <v>0</v>
      </c>
      <c r="G144" s="771">
        <v>0</v>
      </c>
      <c r="H144" s="771">
        <v>0</v>
      </c>
      <c r="I144" s="771">
        <v>578</v>
      </c>
      <c r="J144" s="771">
        <v>0</v>
      </c>
      <c r="K144" s="771">
        <v>0</v>
      </c>
      <c r="L144" s="771">
        <v>0</v>
      </c>
      <c r="M144" s="772">
        <v>578</v>
      </c>
      <c r="O144" s="825" t="s">
        <v>519</v>
      </c>
      <c r="P144" s="825" t="s">
        <v>384</v>
      </c>
    </row>
    <row r="145" spans="1:16" x14ac:dyDescent="0.25">
      <c r="A145" s="825" t="s">
        <v>520</v>
      </c>
      <c r="B145" s="825" t="s">
        <v>651</v>
      </c>
      <c r="C145" s="825" t="s">
        <v>652</v>
      </c>
      <c r="D145" s="825" t="s">
        <v>653</v>
      </c>
      <c r="E145" s="825" t="s">
        <v>382</v>
      </c>
      <c r="F145" s="771">
        <v>0</v>
      </c>
      <c r="G145" s="771">
        <v>0</v>
      </c>
      <c r="H145" s="771">
        <v>0</v>
      </c>
      <c r="I145" s="771">
        <v>110</v>
      </c>
      <c r="J145" s="771">
        <v>0</v>
      </c>
      <c r="K145" s="771">
        <v>0</v>
      </c>
      <c r="L145" s="771">
        <v>0</v>
      </c>
      <c r="M145" s="772">
        <v>110</v>
      </c>
      <c r="O145" s="825" t="s">
        <v>519</v>
      </c>
      <c r="P145" s="825" t="s">
        <v>521</v>
      </c>
    </row>
    <row r="146" spans="1:16" x14ac:dyDescent="0.25">
      <c r="A146" s="825" t="s">
        <v>522</v>
      </c>
      <c r="B146" s="825" t="s">
        <v>651</v>
      </c>
      <c r="C146" s="825" t="s">
        <v>654</v>
      </c>
      <c r="D146" s="825" t="s">
        <v>655</v>
      </c>
      <c r="E146" s="825" t="s">
        <v>382</v>
      </c>
      <c r="F146" s="771">
        <v>0</v>
      </c>
      <c r="G146" s="771">
        <v>0</v>
      </c>
      <c r="H146" s="771">
        <v>0</v>
      </c>
      <c r="I146" s="771">
        <v>0</v>
      </c>
      <c r="J146" s="771">
        <v>0</v>
      </c>
      <c r="K146" s="771">
        <v>0</v>
      </c>
      <c r="L146" s="771">
        <v>0</v>
      </c>
      <c r="M146" s="772">
        <v>0</v>
      </c>
      <c r="O146" s="825" t="s">
        <v>523</v>
      </c>
      <c r="P146" s="825" t="s">
        <v>524</v>
      </c>
    </row>
    <row r="147" spans="1:16" x14ac:dyDescent="0.25">
      <c r="A147" s="825" t="s">
        <v>525</v>
      </c>
      <c r="B147" s="825" t="s">
        <v>651</v>
      </c>
      <c r="C147" s="825" t="s">
        <v>652</v>
      </c>
      <c r="D147" s="825" t="s">
        <v>656</v>
      </c>
      <c r="E147" s="825" t="s">
        <v>382</v>
      </c>
      <c r="F147" s="771">
        <v>0</v>
      </c>
      <c r="G147" s="771">
        <v>0</v>
      </c>
      <c r="H147" s="771">
        <v>0</v>
      </c>
      <c r="I147" s="771">
        <v>49</v>
      </c>
      <c r="J147" s="771">
        <v>0</v>
      </c>
      <c r="K147" s="771">
        <v>0</v>
      </c>
      <c r="L147" s="771">
        <v>0</v>
      </c>
      <c r="M147" s="772">
        <v>49</v>
      </c>
      <c r="O147" s="825" t="s">
        <v>519</v>
      </c>
      <c r="P147" s="825" t="s">
        <v>526</v>
      </c>
    </row>
    <row r="148" spans="1:16" x14ac:dyDescent="0.25">
      <c r="A148" s="825" t="s">
        <v>527</v>
      </c>
      <c r="B148" s="825" t="s">
        <v>651</v>
      </c>
      <c r="C148" s="825" t="s">
        <v>657</v>
      </c>
      <c r="D148" s="825" t="s">
        <v>382</v>
      </c>
      <c r="E148" s="825" t="s">
        <v>382</v>
      </c>
      <c r="F148" s="771">
        <v>0</v>
      </c>
      <c r="G148" s="771">
        <v>1298</v>
      </c>
      <c r="H148" s="771">
        <v>1044</v>
      </c>
      <c r="I148" s="771">
        <v>0</v>
      </c>
      <c r="J148" s="771">
        <v>0</v>
      </c>
      <c r="K148" s="771">
        <v>6</v>
      </c>
      <c r="L148" s="771">
        <v>2336</v>
      </c>
      <c r="M148" s="772">
        <v>111.75</v>
      </c>
      <c r="O148" s="825" t="s">
        <v>528</v>
      </c>
      <c r="P148" s="825" t="s">
        <v>384</v>
      </c>
    </row>
    <row r="149" spans="1:16" x14ac:dyDescent="0.25">
      <c r="A149" s="825" t="s">
        <v>530</v>
      </c>
      <c r="B149" s="825" t="s">
        <v>651</v>
      </c>
      <c r="C149" s="825" t="s">
        <v>657</v>
      </c>
      <c r="D149" s="825" t="s">
        <v>658</v>
      </c>
      <c r="E149" s="825" t="s">
        <v>382</v>
      </c>
      <c r="F149" s="771">
        <v>0</v>
      </c>
      <c r="G149" s="771">
        <v>0</v>
      </c>
      <c r="H149" s="771">
        <v>0</v>
      </c>
      <c r="I149" s="771">
        <v>0</v>
      </c>
      <c r="J149" s="771">
        <v>0</v>
      </c>
      <c r="K149" s="771">
        <v>0</v>
      </c>
      <c r="L149" s="771">
        <v>0</v>
      </c>
      <c r="M149" s="772">
        <v>0</v>
      </c>
      <c r="O149" s="825" t="s">
        <v>528</v>
      </c>
      <c r="P149" s="825" t="s">
        <v>524</v>
      </c>
    </row>
    <row r="150" spans="1:16" x14ac:dyDescent="0.25">
      <c r="A150" s="825" t="s">
        <v>531</v>
      </c>
      <c r="B150" s="825" t="s">
        <v>651</v>
      </c>
      <c r="C150" s="825" t="s">
        <v>657</v>
      </c>
      <c r="D150" s="825" t="s">
        <v>653</v>
      </c>
      <c r="E150" s="825" t="s">
        <v>382</v>
      </c>
      <c r="F150" s="771">
        <v>0</v>
      </c>
      <c r="G150" s="771">
        <v>74</v>
      </c>
      <c r="H150" s="771">
        <v>611</v>
      </c>
      <c r="I150" s="771">
        <v>0</v>
      </c>
      <c r="J150" s="771">
        <v>0</v>
      </c>
      <c r="K150" s="771">
        <v>11</v>
      </c>
      <c r="L150" s="771">
        <v>674</v>
      </c>
      <c r="M150" s="772">
        <v>36.42</v>
      </c>
      <c r="O150" s="825" t="s">
        <v>528</v>
      </c>
      <c r="P150" s="825" t="s">
        <v>521</v>
      </c>
    </row>
    <row r="151" spans="1:16" x14ac:dyDescent="0.25">
      <c r="A151" s="825" t="s">
        <v>532</v>
      </c>
      <c r="B151" s="825" t="s">
        <v>651</v>
      </c>
      <c r="C151" s="825" t="s">
        <v>657</v>
      </c>
      <c r="D151" s="825" t="s">
        <v>659</v>
      </c>
      <c r="E151" s="825" t="s">
        <v>382</v>
      </c>
      <c r="F151" s="771">
        <v>0</v>
      </c>
      <c r="G151" s="771">
        <v>226</v>
      </c>
      <c r="H151" s="771">
        <v>240</v>
      </c>
      <c r="I151" s="771">
        <v>0</v>
      </c>
      <c r="J151" s="771">
        <v>0</v>
      </c>
      <c r="K151" s="771">
        <v>0</v>
      </c>
      <c r="L151" s="771">
        <v>466</v>
      </c>
      <c r="M151" s="772">
        <v>22.75</v>
      </c>
      <c r="O151" s="825" t="s">
        <v>528</v>
      </c>
      <c r="P151" s="825" t="s">
        <v>533</v>
      </c>
    </row>
    <row r="152" spans="1:16" x14ac:dyDescent="0.25">
      <c r="A152" s="825" t="s">
        <v>534</v>
      </c>
      <c r="B152" s="825" t="s">
        <v>651</v>
      </c>
      <c r="C152" s="825" t="s">
        <v>660</v>
      </c>
      <c r="D152" s="825" t="s">
        <v>382</v>
      </c>
      <c r="E152" s="825" t="s">
        <v>382</v>
      </c>
      <c r="F152" s="771">
        <v>9370</v>
      </c>
      <c r="G152" s="771">
        <v>24204</v>
      </c>
      <c r="H152" s="771">
        <v>2879</v>
      </c>
      <c r="I152" s="771">
        <v>0</v>
      </c>
      <c r="J152" s="771">
        <v>0</v>
      </c>
      <c r="K152" s="771">
        <v>0</v>
      </c>
      <c r="L152" s="771">
        <v>36453</v>
      </c>
      <c r="M152" s="772">
        <v>1480.78</v>
      </c>
      <c r="O152" s="825" t="s">
        <v>535</v>
      </c>
      <c r="P152" s="825" t="s">
        <v>384</v>
      </c>
    </row>
    <row r="153" spans="1:16" x14ac:dyDescent="0.25">
      <c r="A153" s="825" t="s">
        <v>534</v>
      </c>
      <c r="B153" s="825" t="s">
        <v>651</v>
      </c>
      <c r="C153" s="825" t="s">
        <v>660</v>
      </c>
      <c r="D153" s="825" t="s">
        <v>382</v>
      </c>
      <c r="E153" s="825" t="s">
        <v>618</v>
      </c>
      <c r="F153" s="771">
        <v>0</v>
      </c>
      <c r="G153" s="771">
        <v>3726</v>
      </c>
      <c r="H153" s="771">
        <v>0</v>
      </c>
      <c r="I153" s="771">
        <v>0</v>
      </c>
      <c r="J153" s="771">
        <v>0</v>
      </c>
      <c r="K153" s="771">
        <v>0</v>
      </c>
      <c r="L153" s="771">
        <v>3726</v>
      </c>
      <c r="M153" s="772">
        <v>155.25</v>
      </c>
      <c r="O153" s="825" t="s">
        <v>535</v>
      </c>
      <c r="P153" s="825" t="s">
        <v>384</v>
      </c>
    </row>
    <row r="154" spans="1:16" x14ac:dyDescent="0.25">
      <c r="A154" s="825" t="s">
        <v>536</v>
      </c>
      <c r="B154" s="825" t="s">
        <v>651</v>
      </c>
      <c r="C154" s="825" t="s">
        <v>660</v>
      </c>
      <c r="D154" s="825" t="s">
        <v>653</v>
      </c>
      <c r="E154" s="825" t="s">
        <v>382</v>
      </c>
      <c r="F154" s="771">
        <v>0</v>
      </c>
      <c r="G154" s="771">
        <v>1589</v>
      </c>
      <c r="H154" s="771">
        <v>0</v>
      </c>
      <c r="I154" s="771">
        <v>0</v>
      </c>
      <c r="J154" s="771">
        <v>0</v>
      </c>
      <c r="K154" s="771">
        <v>0</v>
      </c>
      <c r="L154" s="771">
        <v>1589</v>
      </c>
      <c r="M154" s="772">
        <v>66.209999999999994</v>
      </c>
      <c r="O154" s="825" t="s">
        <v>535</v>
      </c>
      <c r="P154" s="825" t="s">
        <v>521</v>
      </c>
    </row>
    <row r="155" spans="1:16" x14ac:dyDescent="0.25">
      <c r="A155" s="825" t="s">
        <v>537</v>
      </c>
      <c r="B155" s="825" t="s">
        <v>651</v>
      </c>
      <c r="C155" s="825" t="s">
        <v>660</v>
      </c>
      <c r="D155" s="825" t="s">
        <v>661</v>
      </c>
      <c r="E155" s="825" t="s">
        <v>382</v>
      </c>
      <c r="F155" s="771">
        <v>0</v>
      </c>
      <c r="G155" s="771">
        <v>6966</v>
      </c>
      <c r="H155" s="771">
        <v>0</v>
      </c>
      <c r="I155" s="771">
        <v>0</v>
      </c>
      <c r="J155" s="771">
        <v>0</v>
      </c>
      <c r="K155" s="771">
        <v>0</v>
      </c>
      <c r="L155" s="771">
        <v>6966</v>
      </c>
      <c r="M155" s="772">
        <v>290.25</v>
      </c>
      <c r="O155" s="825" t="s">
        <v>535</v>
      </c>
      <c r="P155" s="825" t="s">
        <v>538</v>
      </c>
    </row>
    <row r="156" spans="1:16" x14ac:dyDescent="0.25">
      <c r="A156" s="825" t="s">
        <v>539</v>
      </c>
      <c r="B156" s="825" t="s">
        <v>651</v>
      </c>
      <c r="C156" s="825" t="s">
        <v>660</v>
      </c>
      <c r="D156" s="825" t="s">
        <v>656</v>
      </c>
      <c r="E156" s="825" t="s">
        <v>382</v>
      </c>
      <c r="F156" s="771">
        <v>0</v>
      </c>
      <c r="G156" s="771">
        <v>1421</v>
      </c>
      <c r="H156" s="771">
        <v>0</v>
      </c>
      <c r="I156" s="771">
        <v>0</v>
      </c>
      <c r="J156" s="771">
        <v>0</v>
      </c>
      <c r="K156" s="771">
        <v>0</v>
      </c>
      <c r="L156" s="771">
        <v>1421</v>
      </c>
      <c r="M156" s="772">
        <v>59.21</v>
      </c>
      <c r="O156" s="825" t="s">
        <v>535</v>
      </c>
      <c r="P156" s="825" t="s">
        <v>526</v>
      </c>
    </row>
    <row r="157" spans="1:16" x14ac:dyDescent="0.25">
      <c r="A157" s="825" t="s">
        <v>540</v>
      </c>
      <c r="B157" s="825" t="s">
        <v>651</v>
      </c>
      <c r="C157" s="825" t="s">
        <v>662</v>
      </c>
      <c r="D157" s="825" t="s">
        <v>382</v>
      </c>
      <c r="E157" s="825" t="s">
        <v>382</v>
      </c>
      <c r="F157" s="771">
        <v>34754</v>
      </c>
      <c r="G157" s="771">
        <v>10908</v>
      </c>
      <c r="H157" s="771">
        <v>2059</v>
      </c>
      <c r="I157" s="771">
        <v>0</v>
      </c>
      <c r="J157" s="771">
        <v>0</v>
      </c>
      <c r="K157" s="771">
        <v>0</v>
      </c>
      <c r="L157" s="771">
        <v>47721</v>
      </c>
      <c r="M157" s="772">
        <v>1727.36</v>
      </c>
      <c r="O157" s="825" t="s">
        <v>541</v>
      </c>
      <c r="P157" s="825" t="s">
        <v>384</v>
      </c>
    </row>
    <row r="158" spans="1:16" x14ac:dyDescent="0.25">
      <c r="A158" s="825" t="s">
        <v>543</v>
      </c>
      <c r="B158" s="825" t="s">
        <v>651</v>
      </c>
      <c r="C158" s="825" t="s">
        <v>662</v>
      </c>
      <c r="D158" s="825" t="s">
        <v>659</v>
      </c>
      <c r="E158" s="825" t="s">
        <v>382</v>
      </c>
      <c r="F158" s="771">
        <v>8782</v>
      </c>
      <c r="G158" s="771">
        <v>0</v>
      </c>
      <c r="H158" s="771">
        <v>0</v>
      </c>
      <c r="I158" s="771">
        <v>0</v>
      </c>
      <c r="J158" s="771">
        <v>0</v>
      </c>
      <c r="K158" s="771">
        <v>0</v>
      </c>
      <c r="L158" s="771">
        <v>8782</v>
      </c>
      <c r="M158" s="772">
        <v>292.73</v>
      </c>
      <c r="O158" s="825" t="s">
        <v>541</v>
      </c>
      <c r="P158" s="825" t="s">
        <v>533</v>
      </c>
    </row>
    <row r="159" spans="1:16" x14ac:dyDescent="0.25">
      <c r="A159" s="825" t="s">
        <v>544</v>
      </c>
      <c r="B159" s="825" t="s">
        <v>651</v>
      </c>
      <c r="C159" s="825" t="s">
        <v>663</v>
      </c>
      <c r="D159" s="825" t="s">
        <v>655</v>
      </c>
      <c r="E159" s="825" t="s">
        <v>382</v>
      </c>
      <c r="F159" s="771">
        <v>0</v>
      </c>
      <c r="G159" s="771">
        <v>0</v>
      </c>
      <c r="H159" s="771">
        <v>0</v>
      </c>
      <c r="I159" s="771">
        <v>0</v>
      </c>
      <c r="J159" s="771">
        <v>0</v>
      </c>
      <c r="K159" s="771">
        <v>0</v>
      </c>
      <c r="L159" s="771">
        <v>0</v>
      </c>
      <c r="M159" s="772">
        <v>0</v>
      </c>
      <c r="O159" s="825" t="s">
        <v>545</v>
      </c>
      <c r="P159" s="825" t="s">
        <v>524</v>
      </c>
    </row>
    <row r="160" spans="1:16" x14ac:dyDescent="0.25">
      <c r="A160" s="825" t="s">
        <v>546</v>
      </c>
      <c r="B160" s="825" t="s">
        <v>651</v>
      </c>
      <c r="C160" s="825" t="s">
        <v>662</v>
      </c>
      <c r="D160" s="825" t="s">
        <v>656</v>
      </c>
      <c r="E160" s="825" t="s">
        <v>382</v>
      </c>
      <c r="F160" s="771">
        <v>2362</v>
      </c>
      <c r="G160" s="771">
        <v>0</v>
      </c>
      <c r="H160" s="771">
        <v>0</v>
      </c>
      <c r="I160" s="771">
        <v>0</v>
      </c>
      <c r="J160" s="771">
        <v>0</v>
      </c>
      <c r="K160" s="771">
        <v>0</v>
      </c>
      <c r="L160" s="771">
        <v>2362</v>
      </c>
      <c r="M160" s="772">
        <v>78.73</v>
      </c>
      <c r="O160" s="825" t="s">
        <v>541</v>
      </c>
      <c r="P160" s="825" t="s">
        <v>526</v>
      </c>
    </row>
    <row r="161" spans="1:16" x14ac:dyDescent="0.25">
      <c r="A161" s="825" t="s">
        <v>547</v>
      </c>
      <c r="B161" s="825" t="s">
        <v>651</v>
      </c>
      <c r="C161" s="825" t="s">
        <v>664</v>
      </c>
      <c r="D161" s="825" t="s">
        <v>382</v>
      </c>
      <c r="E161" s="825" t="s">
        <v>382</v>
      </c>
      <c r="F161" s="771">
        <v>0</v>
      </c>
      <c r="G161" s="771">
        <v>1514</v>
      </c>
      <c r="H161" s="771">
        <v>0</v>
      </c>
      <c r="I161" s="771">
        <v>0</v>
      </c>
      <c r="J161" s="771">
        <v>0</v>
      </c>
      <c r="K161" s="771">
        <v>0</v>
      </c>
      <c r="L161" s="771">
        <v>1514</v>
      </c>
      <c r="M161" s="772">
        <v>63.08</v>
      </c>
      <c r="O161" s="825" t="s">
        <v>548</v>
      </c>
      <c r="P161" s="825" t="s">
        <v>384</v>
      </c>
    </row>
    <row r="162" spans="1:16" x14ac:dyDescent="0.25">
      <c r="A162" s="825" t="s">
        <v>549</v>
      </c>
      <c r="B162" s="825" t="s">
        <v>651</v>
      </c>
      <c r="C162" s="825" t="s">
        <v>664</v>
      </c>
      <c r="D162" s="825" t="s">
        <v>653</v>
      </c>
      <c r="E162" s="825" t="s">
        <v>382</v>
      </c>
      <c r="F162" s="771">
        <v>0</v>
      </c>
      <c r="G162" s="771">
        <v>6784</v>
      </c>
      <c r="H162" s="771">
        <v>0</v>
      </c>
      <c r="I162" s="771">
        <v>0</v>
      </c>
      <c r="J162" s="771">
        <v>0</v>
      </c>
      <c r="K162" s="771">
        <v>0</v>
      </c>
      <c r="L162" s="771">
        <v>6784</v>
      </c>
      <c r="M162" s="772">
        <v>282.67</v>
      </c>
      <c r="O162" s="825" t="s">
        <v>548</v>
      </c>
      <c r="P162" s="825" t="s">
        <v>521</v>
      </c>
    </row>
    <row r="163" spans="1:16" x14ac:dyDescent="0.25">
      <c r="A163" s="825" t="s">
        <v>549</v>
      </c>
      <c r="B163" s="825" t="s">
        <v>651</v>
      </c>
      <c r="C163" s="825" t="s">
        <v>664</v>
      </c>
      <c r="D163" s="825" t="s">
        <v>653</v>
      </c>
      <c r="E163" s="825" t="s">
        <v>584</v>
      </c>
      <c r="F163" s="771">
        <v>0</v>
      </c>
      <c r="G163" s="771">
        <v>79</v>
      </c>
      <c r="H163" s="771">
        <v>0</v>
      </c>
      <c r="I163" s="771">
        <v>0</v>
      </c>
      <c r="J163" s="771">
        <v>0</v>
      </c>
      <c r="K163" s="771">
        <v>0</v>
      </c>
      <c r="L163" s="771">
        <v>79</v>
      </c>
      <c r="M163" s="772">
        <v>3.29</v>
      </c>
      <c r="O163" s="825" t="s">
        <v>548</v>
      </c>
      <c r="P163" s="825" t="s">
        <v>521</v>
      </c>
    </row>
    <row r="164" spans="1:16" x14ac:dyDescent="0.25">
      <c r="A164" s="825" t="s">
        <v>550</v>
      </c>
      <c r="B164" s="825" t="s">
        <v>651</v>
      </c>
      <c r="C164" s="825" t="s">
        <v>664</v>
      </c>
      <c r="D164" s="825" t="s">
        <v>659</v>
      </c>
      <c r="E164" s="825" t="s">
        <v>382</v>
      </c>
      <c r="F164" s="771">
        <v>0</v>
      </c>
      <c r="G164" s="771">
        <v>5459</v>
      </c>
      <c r="H164" s="771">
        <v>0</v>
      </c>
      <c r="I164" s="771">
        <v>0</v>
      </c>
      <c r="J164" s="771">
        <v>0</v>
      </c>
      <c r="K164" s="771">
        <v>0</v>
      </c>
      <c r="L164" s="771">
        <v>5459</v>
      </c>
      <c r="M164" s="772">
        <v>227.46</v>
      </c>
      <c r="O164" s="825" t="s">
        <v>548</v>
      </c>
      <c r="P164" s="825" t="s">
        <v>533</v>
      </c>
    </row>
    <row r="165" spans="1:16" x14ac:dyDescent="0.25">
      <c r="A165" s="825" t="s">
        <v>551</v>
      </c>
      <c r="B165" s="825" t="s">
        <v>651</v>
      </c>
      <c r="C165" s="825" t="s">
        <v>664</v>
      </c>
      <c r="D165" s="825" t="s">
        <v>665</v>
      </c>
      <c r="E165" s="825" t="s">
        <v>382</v>
      </c>
      <c r="F165" s="771">
        <v>0</v>
      </c>
      <c r="G165" s="771">
        <v>10007</v>
      </c>
      <c r="H165" s="771">
        <v>0</v>
      </c>
      <c r="I165" s="771">
        <v>0</v>
      </c>
      <c r="J165" s="771">
        <v>0</v>
      </c>
      <c r="K165" s="771">
        <v>0</v>
      </c>
      <c r="L165" s="771">
        <v>10007</v>
      </c>
      <c r="M165" s="772">
        <v>416.96</v>
      </c>
      <c r="O165" s="825" t="s">
        <v>548</v>
      </c>
      <c r="P165" s="825" t="s">
        <v>552</v>
      </c>
    </row>
    <row r="166" spans="1:16" x14ac:dyDescent="0.25">
      <c r="A166" s="825" t="s">
        <v>553</v>
      </c>
      <c r="B166" s="825" t="s">
        <v>651</v>
      </c>
      <c r="C166" s="825" t="s">
        <v>666</v>
      </c>
      <c r="D166" s="825" t="s">
        <v>382</v>
      </c>
      <c r="E166" s="825" t="s">
        <v>382</v>
      </c>
      <c r="F166" s="771">
        <v>0</v>
      </c>
      <c r="G166" s="771">
        <v>1959</v>
      </c>
      <c r="H166" s="771">
        <v>0</v>
      </c>
      <c r="I166" s="771">
        <v>0</v>
      </c>
      <c r="J166" s="771">
        <v>0</v>
      </c>
      <c r="K166" s="771">
        <v>0</v>
      </c>
      <c r="L166" s="771">
        <v>1959</v>
      </c>
      <c r="M166" s="772">
        <v>81.63</v>
      </c>
      <c r="O166" s="825" t="s">
        <v>554</v>
      </c>
      <c r="P166" s="825" t="s">
        <v>384</v>
      </c>
    </row>
    <row r="167" spans="1:16" x14ac:dyDescent="0.25">
      <c r="A167" s="825" t="s">
        <v>553</v>
      </c>
      <c r="B167" s="825" t="s">
        <v>651</v>
      </c>
      <c r="C167" s="825" t="s">
        <v>666</v>
      </c>
      <c r="D167" s="825" t="s">
        <v>382</v>
      </c>
      <c r="E167" s="825" t="s">
        <v>584</v>
      </c>
      <c r="F167" s="771">
        <v>0</v>
      </c>
      <c r="G167" s="771">
        <v>127</v>
      </c>
      <c r="H167" s="771">
        <v>0</v>
      </c>
      <c r="I167" s="771">
        <v>0</v>
      </c>
      <c r="J167" s="771">
        <v>0</v>
      </c>
      <c r="K167" s="771">
        <v>0</v>
      </c>
      <c r="L167" s="771">
        <v>127</v>
      </c>
      <c r="M167" s="772">
        <v>5.29</v>
      </c>
      <c r="O167" s="825" t="s">
        <v>554</v>
      </c>
      <c r="P167" s="825" t="s">
        <v>384</v>
      </c>
    </row>
    <row r="168" spans="1:16" x14ac:dyDescent="0.25">
      <c r="A168" s="825" t="s">
        <v>667</v>
      </c>
      <c r="B168" s="825" t="s">
        <v>651</v>
      </c>
      <c r="C168" s="825" t="s">
        <v>666</v>
      </c>
      <c r="D168" s="825" t="s">
        <v>653</v>
      </c>
      <c r="E168" s="825" t="s">
        <v>382</v>
      </c>
      <c r="F168" s="771">
        <v>0</v>
      </c>
      <c r="G168" s="771">
        <v>0</v>
      </c>
      <c r="H168" s="771">
        <v>0</v>
      </c>
      <c r="I168" s="771">
        <v>0</v>
      </c>
      <c r="J168" s="771">
        <v>0</v>
      </c>
      <c r="K168" s="771">
        <v>0</v>
      </c>
      <c r="L168" s="771">
        <v>0</v>
      </c>
      <c r="M168" s="772">
        <v>0</v>
      </c>
      <c r="O168" s="825" t="s">
        <v>554</v>
      </c>
      <c r="P168" s="825" t="s">
        <v>384</v>
      </c>
    </row>
    <row r="169" spans="1:16" x14ac:dyDescent="0.25">
      <c r="A169" s="825" t="s">
        <v>555</v>
      </c>
      <c r="B169" s="825" t="s">
        <v>651</v>
      </c>
      <c r="C169" s="825" t="s">
        <v>666</v>
      </c>
      <c r="D169" s="825" t="s">
        <v>659</v>
      </c>
      <c r="E169" s="825" t="s">
        <v>382</v>
      </c>
      <c r="F169" s="771">
        <v>0</v>
      </c>
      <c r="G169" s="771">
        <v>228</v>
      </c>
      <c r="H169" s="771">
        <v>0</v>
      </c>
      <c r="I169" s="771">
        <v>0</v>
      </c>
      <c r="J169" s="771">
        <v>0</v>
      </c>
      <c r="K169" s="771">
        <v>0</v>
      </c>
      <c r="L169" s="771">
        <v>228</v>
      </c>
      <c r="M169" s="772">
        <v>9.5</v>
      </c>
      <c r="O169" s="825" t="s">
        <v>554</v>
      </c>
      <c r="P169" s="825" t="s">
        <v>533</v>
      </c>
    </row>
    <row r="170" spans="1:16" x14ac:dyDescent="0.25">
      <c r="A170" s="825" t="s">
        <v>517</v>
      </c>
    </row>
    <row r="171" spans="1:16" x14ac:dyDescent="0.25">
      <c r="A171" s="825" t="s">
        <v>389</v>
      </c>
      <c r="B171" s="825" t="s">
        <v>651</v>
      </c>
      <c r="C171" s="825" t="s">
        <v>382</v>
      </c>
      <c r="D171" s="825" t="s">
        <v>382</v>
      </c>
      <c r="E171" s="825" t="s">
        <v>382</v>
      </c>
      <c r="F171" s="771">
        <v>55268</v>
      </c>
      <c r="G171" s="771">
        <v>76569</v>
      </c>
      <c r="H171" s="771">
        <v>6833</v>
      </c>
      <c r="I171" s="771">
        <v>737</v>
      </c>
      <c r="J171" s="771">
        <v>0</v>
      </c>
      <c r="K171" s="771">
        <v>17</v>
      </c>
      <c r="L171" s="771">
        <v>138653</v>
      </c>
      <c r="M171" s="772">
        <v>6148.32</v>
      </c>
    </row>
    <row r="174" spans="1:16" x14ac:dyDescent="0.25">
      <c r="A174" s="825" t="s">
        <v>556</v>
      </c>
    </row>
    <row r="175" spans="1:16" x14ac:dyDescent="0.25">
      <c r="A175" s="825" t="s">
        <v>557</v>
      </c>
      <c r="B175" s="825" t="s">
        <v>655</v>
      </c>
      <c r="C175" s="825" t="s">
        <v>654</v>
      </c>
      <c r="D175" s="825" t="s">
        <v>382</v>
      </c>
      <c r="E175" s="825" t="s">
        <v>382</v>
      </c>
      <c r="F175" s="771">
        <v>0</v>
      </c>
      <c r="G175" s="771">
        <v>0</v>
      </c>
      <c r="H175" s="771">
        <v>0</v>
      </c>
      <c r="I175" s="771">
        <v>425</v>
      </c>
      <c r="J175" s="771">
        <v>0</v>
      </c>
      <c r="K175" s="771">
        <v>0</v>
      </c>
      <c r="L175" s="771">
        <v>0</v>
      </c>
      <c r="M175" s="772">
        <v>425</v>
      </c>
      <c r="O175" s="825" t="s">
        <v>523</v>
      </c>
      <c r="P175" s="825" t="s">
        <v>384</v>
      </c>
    </row>
    <row r="176" spans="1:16" x14ac:dyDescent="0.25">
      <c r="A176" s="825" t="s">
        <v>558</v>
      </c>
      <c r="B176" s="825" t="s">
        <v>655</v>
      </c>
      <c r="C176" s="825" t="s">
        <v>663</v>
      </c>
      <c r="D176" s="825" t="s">
        <v>382</v>
      </c>
      <c r="E176" s="825" t="s">
        <v>382</v>
      </c>
      <c r="F176" s="771">
        <v>11061</v>
      </c>
      <c r="G176" s="771">
        <v>87</v>
      </c>
      <c r="H176" s="771">
        <v>0</v>
      </c>
      <c r="I176" s="771">
        <v>0</v>
      </c>
      <c r="J176" s="771">
        <v>0</v>
      </c>
      <c r="K176" s="771">
        <v>0</v>
      </c>
      <c r="L176" s="771">
        <v>11148</v>
      </c>
      <c r="M176" s="772">
        <v>372.33</v>
      </c>
      <c r="O176" s="825" t="s">
        <v>545</v>
      </c>
      <c r="P176" s="825" t="s">
        <v>384</v>
      </c>
    </row>
    <row r="177" spans="1:16" x14ac:dyDescent="0.25">
      <c r="A177" s="825" t="s">
        <v>559</v>
      </c>
      <c r="B177" s="825" t="s">
        <v>655</v>
      </c>
      <c r="C177" s="825" t="s">
        <v>658</v>
      </c>
      <c r="D177" s="825" t="s">
        <v>382</v>
      </c>
      <c r="E177" s="825" t="s">
        <v>382</v>
      </c>
      <c r="F177" s="771">
        <v>0</v>
      </c>
      <c r="G177" s="771">
        <v>1029</v>
      </c>
      <c r="H177" s="771">
        <v>0</v>
      </c>
      <c r="I177" s="771">
        <v>0</v>
      </c>
      <c r="J177" s="771">
        <v>0</v>
      </c>
      <c r="K177" s="771">
        <v>0</v>
      </c>
      <c r="L177" s="771">
        <v>1029</v>
      </c>
      <c r="M177" s="772">
        <v>42.88</v>
      </c>
      <c r="O177" s="825" t="s">
        <v>560</v>
      </c>
      <c r="P177" s="825" t="s">
        <v>384</v>
      </c>
    </row>
    <row r="178" spans="1:16" x14ac:dyDescent="0.25">
      <c r="A178" s="825" t="s">
        <v>556</v>
      </c>
    </row>
    <row r="179" spans="1:16" x14ac:dyDescent="0.25">
      <c r="A179" s="825" t="s">
        <v>389</v>
      </c>
      <c r="B179" s="825" t="s">
        <v>655</v>
      </c>
      <c r="C179" s="825" t="s">
        <v>382</v>
      </c>
      <c r="D179" s="825" t="s">
        <v>382</v>
      </c>
      <c r="E179" s="825" t="s">
        <v>382</v>
      </c>
      <c r="F179" s="771">
        <v>11061</v>
      </c>
      <c r="G179" s="771">
        <v>1116</v>
      </c>
      <c r="H179" s="771">
        <v>0</v>
      </c>
      <c r="I179" s="771">
        <v>425</v>
      </c>
      <c r="J179" s="771">
        <v>0</v>
      </c>
      <c r="K179" s="771">
        <v>0</v>
      </c>
      <c r="L179" s="771">
        <v>12177</v>
      </c>
      <c r="M179" s="772">
        <v>840.21</v>
      </c>
    </row>
    <row r="182" spans="1:16" x14ac:dyDescent="0.25">
      <c r="A182" s="825" t="s">
        <v>561</v>
      </c>
    </row>
    <row r="183" spans="1:16" x14ac:dyDescent="0.25">
      <c r="A183" s="825" t="s">
        <v>557</v>
      </c>
      <c r="B183" s="825" t="s">
        <v>668</v>
      </c>
      <c r="C183" s="825" t="s">
        <v>668</v>
      </c>
      <c r="D183" s="825" t="s">
        <v>382</v>
      </c>
      <c r="E183" s="825" t="s">
        <v>382</v>
      </c>
      <c r="F183" s="771">
        <v>0</v>
      </c>
      <c r="G183" s="771">
        <v>0</v>
      </c>
      <c r="H183" s="771">
        <v>0</v>
      </c>
      <c r="I183" s="771">
        <v>194</v>
      </c>
      <c r="J183" s="771">
        <v>0</v>
      </c>
      <c r="K183" s="771">
        <v>0</v>
      </c>
      <c r="L183" s="771">
        <v>0</v>
      </c>
      <c r="M183" s="772">
        <v>194</v>
      </c>
      <c r="O183" s="825" t="s">
        <v>562</v>
      </c>
      <c r="P183" s="825" t="s">
        <v>384</v>
      </c>
    </row>
    <row r="184" spans="1:16" x14ac:dyDescent="0.25">
      <c r="A184" s="825" t="s">
        <v>561</v>
      </c>
    </row>
    <row r="185" spans="1:16" x14ac:dyDescent="0.25">
      <c r="A185" s="825" t="s">
        <v>389</v>
      </c>
      <c r="B185" s="825" t="s">
        <v>668</v>
      </c>
      <c r="C185" s="825" t="s">
        <v>382</v>
      </c>
      <c r="D185" s="825" t="s">
        <v>382</v>
      </c>
      <c r="E185" s="825" t="s">
        <v>382</v>
      </c>
      <c r="F185" s="771">
        <v>0</v>
      </c>
      <c r="G185" s="771">
        <v>0</v>
      </c>
      <c r="H185" s="771">
        <v>0</v>
      </c>
      <c r="I185" s="771">
        <v>194</v>
      </c>
      <c r="J185" s="771">
        <v>0</v>
      </c>
      <c r="K185" s="771">
        <v>0</v>
      </c>
      <c r="L185" s="771">
        <v>0</v>
      </c>
      <c r="M185" s="772">
        <v>194</v>
      </c>
    </row>
    <row r="188" spans="1:16" x14ac:dyDescent="0.25">
      <c r="A188" s="825" t="s">
        <v>563</v>
      </c>
    </row>
    <row r="189" spans="1:16" x14ac:dyDescent="0.25">
      <c r="A189" s="825" t="s">
        <v>557</v>
      </c>
      <c r="B189" s="825" t="s">
        <v>669</v>
      </c>
      <c r="C189" s="825" t="s">
        <v>669</v>
      </c>
      <c r="D189" s="825" t="s">
        <v>382</v>
      </c>
      <c r="E189" s="825" t="s">
        <v>382</v>
      </c>
      <c r="F189" s="771">
        <v>0</v>
      </c>
      <c r="G189" s="771">
        <v>0</v>
      </c>
      <c r="H189" s="771">
        <v>0</v>
      </c>
      <c r="I189" s="771">
        <v>221</v>
      </c>
      <c r="J189" s="771">
        <v>0</v>
      </c>
      <c r="K189" s="771">
        <v>0</v>
      </c>
      <c r="L189" s="771">
        <v>0</v>
      </c>
      <c r="M189" s="772">
        <v>221</v>
      </c>
      <c r="O189" s="825" t="s">
        <v>564</v>
      </c>
      <c r="P189" s="825" t="s">
        <v>384</v>
      </c>
    </row>
    <row r="190" spans="1:16" x14ac:dyDescent="0.25">
      <c r="A190" s="825" t="s">
        <v>563</v>
      </c>
    </row>
    <row r="191" spans="1:16" x14ac:dyDescent="0.25">
      <c r="A191" s="825" t="s">
        <v>389</v>
      </c>
      <c r="B191" s="825" t="s">
        <v>669</v>
      </c>
      <c r="C191" s="825" t="s">
        <v>382</v>
      </c>
      <c r="D191" s="825" t="s">
        <v>382</v>
      </c>
      <c r="E191" s="825" t="s">
        <v>382</v>
      </c>
      <c r="F191" s="771">
        <v>0</v>
      </c>
      <c r="G191" s="771">
        <v>0</v>
      </c>
      <c r="H191" s="771">
        <v>0</v>
      </c>
      <c r="I191" s="771">
        <v>221</v>
      </c>
      <c r="J191" s="771">
        <v>0</v>
      </c>
      <c r="K191" s="771">
        <v>0</v>
      </c>
      <c r="L191" s="771">
        <v>0</v>
      </c>
      <c r="M191" s="772">
        <v>221</v>
      </c>
    </row>
    <row r="194" spans="1:16" x14ac:dyDescent="0.25">
      <c r="A194" s="825" t="s">
        <v>565</v>
      </c>
    </row>
    <row r="195" spans="1:16" x14ac:dyDescent="0.25">
      <c r="A195" s="825" t="s">
        <v>557</v>
      </c>
      <c r="B195" s="825" t="s">
        <v>670</v>
      </c>
      <c r="C195" s="825" t="s">
        <v>670</v>
      </c>
      <c r="D195" s="825" t="s">
        <v>382</v>
      </c>
      <c r="E195" s="825" t="s">
        <v>382</v>
      </c>
      <c r="F195" s="771">
        <v>0</v>
      </c>
      <c r="G195" s="771">
        <v>0</v>
      </c>
      <c r="H195" s="771">
        <v>0</v>
      </c>
      <c r="I195" s="771">
        <v>30</v>
      </c>
      <c r="J195" s="771">
        <v>0</v>
      </c>
      <c r="K195" s="771">
        <v>0</v>
      </c>
      <c r="L195" s="771">
        <v>0</v>
      </c>
      <c r="M195" s="772">
        <v>30</v>
      </c>
      <c r="O195" s="825" t="s">
        <v>566</v>
      </c>
      <c r="P195" s="825" t="s">
        <v>384</v>
      </c>
    </row>
    <row r="196" spans="1:16" x14ac:dyDescent="0.25">
      <c r="A196" s="825" t="s">
        <v>565</v>
      </c>
    </row>
    <row r="197" spans="1:16" x14ac:dyDescent="0.25">
      <c r="A197" s="825" t="s">
        <v>389</v>
      </c>
      <c r="B197" s="825" t="s">
        <v>670</v>
      </c>
      <c r="C197" s="825" t="s">
        <v>382</v>
      </c>
      <c r="D197" s="825" t="s">
        <v>382</v>
      </c>
      <c r="E197" s="825" t="s">
        <v>382</v>
      </c>
      <c r="F197" s="771">
        <v>0</v>
      </c>
      <c r="G197" s="771">
        <v>0</v>
      </c>
      <c r="H197" s="771">
        <v>0</v>
      </c>
      <c r="I197" s="771">
        <v>30</v>
      </c>
      <c r="J197" s="771">
        <v>0</v>
      </c>
      <c r="K197" s="771">
        <v>0</v>
      </c>
      <c r="L197" s="771">
        <v>0</v>
      </c>
      <c r="M197" s="772">
        <v>30</v>
      </c>
    </row>
    <row r="200" spans="1:16" x14ac:dyDescent="0.25">
      <c r="A200" s="825" t="s">
        <v>671</v>
      </c>
    </row>
    <row r="201" spans="1:16" x14ac:dyDescent="0.25">
      <c r="A201" s="825" t="s">
        <v>567</v>
      </c>
      <c r="F201" s="771">
        <v>191127</v>
      </c>
      <c r="G201" s="771">
        <v>264667</v>
      </c>
      <c r="H201" s="771">
        <v>69478</v>
      </c>
      <c r="I201" s="771">
        <v>8065</v>
      </c>
      <c r="J201" s="771">
        <v>287</v>
      </c>
      <c r="K201" s="771">
        <v>1431</v>
      </c>
      <c r="L201" s="771">
        <v>523841</v>
      </c>
      <c r="M201" s="772">
        <v>29530.11</v>
      </c>
    </row>
    <row r="204" spans="1:16" x14ac:dyDescent="0.25">
      <c r="A204" s="825" t="s">
        <v>568</v>
      </c>
    </row>
    <row r="205" spans="1:16" x14ac:dyDescent="0.25">
      <c r="A205" s="825" t="s">
        <v>569</v>
      </c>
    </row>
    <row r="206" spans="1:16" x14ac:dyDescent="0.25">
      <c r="A206" s="825" t="s">
        <v>570</v>
      </c>
    </row>
    <row r="207" spans="1:16" x14ac:dyDescent="0.25">
      <c r="A207" s="825" t="s">
        <v>571</v>
      </c>
    </row>
    <row r="208" spans="1:16" x14ac:dyDescent="0.25">
      <c r="A208" s="825" t="s">
        <v>572</v>
      </c>
    </row>
    <row r="210" spans="1:16" x14ac:dyDescent="0.25">
      <c r="A210" s="785" t="s">
        <v>573</v>
      </c>
    </row>
    <row r="211" spans="1:16" x14ac:dyDescent="0.25">
      <c r="A211" s="825" t="s">
        <v>574</v>
      </c>
    </row>
    <row r="214" spans="1:16" x14ac:dyDescent="0.25">
      <c r="A214" s="825" t="s">
        <v>575</v>
      </c>
    </row>
    <row r="215" spans="1:16" x14ac:dyDescent="0.25">
      <c r="A215" s="825" t="s">
        <v>576</v>
      </c>
      <c r="B215" s="825" t="s">
        <v>577</v>
      </c>
      <c r="C215" s="825" t="s">
        <v>577</v>
      </c>
      <c r="D215" s="825" t="s">
        <v>382</v>
      </c>
      <c r="E215" s="825" t="s">
        <v>382</v>
      </c>
      <c r="F215" s="771">
        <v>0</v>
      </c>
      <c r="G215" s="771">
        <v>0</v>
      </c>
      <c r="H215" s="771">
        <v>0</v>
      </c>
      <c r="I215" s="771">
        <v>75</v>
      </c>
      <c r="J215" s="771">
        <v>0</v>
      </c>
      <c r="K215" s="771">
        <v>0</v>
      </c>
      <c r="L215" s="771">
        <v>0</v>
      </c>
      <c r="M215" s="772">
        <v>75</v>
      </c>
      <c r="O215" s="825" t="s">
        <v>578</v>
      </c>
      <c r="P215" s="825" t="s">
        <v>384</v>
      </c>
    </row>
    <row r="216" spans="1:16" x14ac:dyDescent="0.25">
      <c r="A216" s="825" t="s">
        <v>579</v>
      </c>
      <c r="B216" s="825" t="s">
        <v>382</v>
      </c>
      <c r="C216" s="825" t="s">
        <v>382</v>
      </c>
      <c r="D216" s="825" t="s">
        <v>382</v>
      </c>
      <c r="E216" s="825" t="s">
        <v>382</v>
      </c>
      <c r="F216" s="771">
        <v>0</v>
      </c>
      <c r="G216" s="771">
        <v>0</v>
      </c>
      <c r="H216" s="771">
        <v>0</v>
      </c>
      <c r="I216" s="771">
        <v>75</v>
      </c>
      <c r="J216" s="771">
        <v>0</v>
      </c>
      <c r="K216" s="771">
        <v>0</v>
      </c>
      <c r="L216" s="771">
        <v>0</v>
      </c>
      <c r="M216" s="772">
        <v>75</v>
      </c>
      <c r="O216" s="825" t="s">
        <v>580</v>
      </c>
      <c r="P216" s="825" t="s">
        <v>384</v>
      </c>
    </row>
    <row r="217" spans="1:16" x14ac:dyDescent="0.25">
      <c r="A217" s="825" t="s">
        <v>575</v>
      </c>
    </row>
    <row r="218" spans="1:16" x14ac:dyDescent="0.25">
      <c r="A218" s="825" t="s">
        <v>389</v>
      </c>
      <c r="B218" s="825" t="s">
        <v>382</v>
      </c>
      <c r="C218" s="825" t="s">
        <v>382</v>
      </c>
      <c r="D218" s="825" t="s">
        <v>382</v>
      </c>
      <c r="E218" s="825" t="s">
        <v>382</v>
      </c>
      <c r="F218" s="771">
        <v>0</v>
      </c>
      <c r="G218" s="771">
        <v>0</v>
      </c>
      <c r="H218" s="771">
        <v>0</v>
      </c>
      <c r="I218" s="771">
        <v>75</v>
      </c>
      <c r="J218" s="771">
        <v>0</v>
      </c>
      <c r="K218" s="771">
        <v>0</v>
      </c>
      <c r="L218" s="771">
        <v>0</v>
      </c>
      <c r="M218" s="772">
        <v>75</v>
      </c>
    </row>
  </sheetData>
  <pageMargins left="0.75" right="0.75" top="1" bottom="1" header="0.5" footer="0.5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735FB-CEB6-43B0-8C71-58E0208685E3}">
  <sheetPr>
    <tabColor indexed="42"/>
  </sheetPr>
  <dimension ref="A1:Z55"/>
  <sheetViews>
    <sheetView showGridLines="0" workbookViewId="0">
      <selection activeCell="G3" sqref="G3"/>
    </sheetView>
  </sheetViews>
  <sheetFormatPr defaultColWidth="12.5703125" defaultRowHeight="14.25" customHeight="1" x14ac:dyDescent="0.2"/>
  <cols>
    <col min="1" max="1" width="30.140625" style="720" customWidth="1"/>
    <col min="2" max="2" width="11.28515625" style="720" customWidth="1"/>
    <col min="3" max="3" width="10.5703125" style="720" customWidth="1"/>
    <col min="4" max="4" width="10.42578125" style="720" customWidth="1"/>
    <col min="5" max="5" width="11.42578125" style="720" customWidth="1"/>
    <col min="6" max="6" width="10.85546875" style="720" customWidth="1"/>
    <col min="7" max="7" width="10.7109375" style="720" customWidth="1"/>
    <col min="8" max="8" width="13.42578125" style="720" customWidth="1"/>
    <col min="9" max="9" width="12.140625" style="720" customWidth="1"/>
    <col min="10" max="10" width="11.140625" style="720" customWidth="1"/>
    <col min="11" max="11" width="11.28515625" style="720" customWidth="1"/>
    <col min="12" max="12" width="10.85546875" style="720" customWidth="1"/>
    <col min="13" max="13" width="9.7109375" style="720" customWidth="1"/>
    <col min="14" max="16384" width="12.5703125" style="720"/>
  </cols>
  <sheetData>
    <row r="1" spans="1:26" ht="14.25" customHeight="1" x14ac:dyDescent="0.2">
      <c r="A1" s="862" t="s">
        <v>672</v>
      </c>
    </row>
    <row r="2" spans="1:26" ht="39" customHeight="1" x14ac:dyDescent="0.2">
      <c r="A2" s="862" t="s">
        <v>110</v>
      </c>
      <c r="B2" s="741" t="s">
        <v>673</v>
      </c>
      <c r="C2" s="741" t="s">
        <v>674</v>
      </c>
      <c r="D2" s="741" t="s">
        <v>675</v>
      </c>
      <c r="E2" s="720" t="s">
        <v>676</v>
      </c>
      <c r="F2" s="720" t="s">
        <v>677</v>
      </c>
      <c r="G2" s="741" t="s">
        <v>678</v>
      </c>
      <c r="H2" s="863" t="s">
        <v>679</v>
      </c>
      <c r="I2" s="726" t="s">
        <v>680</v>
      </c>
      <c r="J2" s="864" t="s">
        <v>681</v>
      </c>
      <c r="W2" s="863"/>
      <c r="X2" s="863"/>
      <c r="Y2" s="863"/>
      <c r="Z2" s="863"/>
    </row>
    <row r="3" spans="1:26" ht="14.25" customHeight="1" x14ac:dyDescent="0.2">
      <c r="A3" s="727" t="s">
        <v>100</v>
      </c>
      <c r="B3" s="865">
        <v>1</v>
      </c>
      <c r="C3" s="865">
        <v>1</v>
      </c>
      <c r="D3" s="865">
        <v>1</v>
      </c>
      <c r="E3" s="866">
        <v>1</v>
      </c>
      <c r="F3" s="729">
        <v>1</v>
      </c>
      <c r="G3" s="729">
        <v>1</v>
      </c>
      <c r="H3" s="729">
        <v>1</v>
      </c>
      <c r="I3" s="729">
        <v>1</v>
      </c>
      <c r="J3" s="729">
        <v>1</v>
      </c>
      <c r="W3" s="721"/>
      <c r="X3" s="721"/>
      <c r="Y3" s="721"/>
      <c r="Z3" s="721"/>
    </row>
    <row r="4" spans="1:26" ht="14.25" customHeight="1" x14ac:dyDescent="0.2">
      <c r="A4" s="731" t="s">
        <v>101</v>
      </c>
      <c r="B4" s="865">
        <v>1.018</v>
      </c>
      <c r="C4" s="865">
        <v>1.018</v>
      </c>
      <c r="D4" s="865">
        <v>1.018</v>
      </c>
      <c r="E4" s="867">
        <v>1.018</v>
      </c>
      <c r="F4" s="733">
        <v>1.018</v>
      </c>
      <c r="G4" s="733">
        <v>1.018</v>
      </c>
      <c r="H4" s="733">
        <v>1.018</v>
      </c>
      <c r="I4" s="733">
        <v>1.018</v>
      </c>
      <c r="J4" s="733">
        <v>1.018</v>
      </c>
      <c r="W4" s="868"/>
      <c r="X4" s="868"/>
      <c r="Y4" s="868"/>
      <c r="Z4" s="868"/>
    </row>
    <row r="5" spans="1:26" ht="14.25" customHeight="1" x14ac:dyDescent="0.2">
      <c r="A5" s="731" t="s">
        <v>102</v>
      </c>
      <c r="E5" s="869"/>
      <c r="F5" s="733">
        <v>1</v>
      </c>
      <c r="G5" s="733">
        <v>1</v>
      </c>
      <c r="H5" s="733">
        <v>1</v>
      </c>
      <c r="I5" s="733">
        <v>1.75</v>
      </c>
      <c r="J5" s="733">
        <v>1.75</v>
      </c>
      <c r="W5" s="868"/>
      <c r="X5" s="868"/>
      <c r="Y5" s="868"/>
      <c r="Z5" s="868"/>
    </row>
    <row r="6" spans="1:26" ht="14.25" customHeight="1" x14ac:dyDescent="0.2">
      <c r="A6" s="731" t="s">
        <v>135</v>
      </c>
      <c r="B6" s="865">
        <v>1.1379999999999999</v>
      </c>
      <c r="C6" s="865">
        <v>1.1379999999999999</v>
      </c>
      <c r="D6" s="865">
        <v>1.1379999999999999</v>
      </c>
      <c r="E6" s="867">
        <v>1.1379999999999999</v>
      </c>
      <c r="F6" s="733">
        <v>1.1379999999999999</v>
      </c>
      <c r="G6" s="733">
        <v>1.1379999999999999</v>
      </c>
      <c r="H6" s="733">
        <v>1.1379999999999999</v>
      </c>
      <c r="I6" s="733">
        <v>1.1379999999999999</v>
      </c>
      <c r="J6" s="733">
        <v>1.1379999999999999</v>
      </c>
      <c r="W6" s="868"/>
      <c r="X6" s="868"/>
      <c r="Y6" s="868"/>
      <c r="Z6" s="868"/>
    </row>
    <row r="7" spans="1:26" ht="14.25" customHeight="1" x14ac:dyDescent="0.2">
      <c r="A7" s="731" t="s">
        <v>183</v>
      </c>
      <c r="E7" s="867">
        <v>1.1379999999999999</v>
      </c>
      <c r="F7" s="733">
        <v>1.1379999999999999</v>
      </c>
      <c r="G7" s="733">
        <v>1.1379999999999999</v>
      </c>
      <c r="H7" s="733">
        <v>1.1379999999999999</v>
      </c>
      <c r="I7" s="733">
        <v>1.1379999999999999</v>
      </c>
      <c r="J7" s="733">
        <v>1.1379999999999999</v>
      </c>
      <c r="W7" s="868"/>
      <c r="X7" s="868"/>
      <c r="Y7" s="868"/>
      <c r="Z7" s="868"/>
    </row>
    <row r="8" spans="1:26" ht="14.25" customHeight="1" x14ac:dyDescent="0.2">
      <c r="A8" s="731" t="s">
        <v>104</v>
      </c>
      <c r="B8" s="865">
        <v>1.6696845865702761</v>
      </c>
      <c r="C8" s="865">
        <v>1.6696845865702761</v>
      </c>
      <c r="D8" s="865">
        <v>1.6696845865702761</v>
      </c>
      <c r="E8" s="867">
        <v>1.67</v>
      </c>
      <c r="F8" s="733">
        <v>1.67</v>
      </c>
      <c r="G8" s="733">
        <v>1.67</v>
      </c>
      <c r="H8" s="733">
        <v>1.67</v>
      </c>
      <c r="I8" s="733">
        <v>1.67</v>
      </c>
      <c r="J8" s="733">
        <v>1.67</v>
      </c>
      <c r="W8" s="868"/>
      <c r="X8" s="868"/>
      <c r="Y8" s="868"/>
      <c r="Z8" s="868"/>
    </row>
    <row r="9" spans="1:26" ht="14.25" customHeight="1" x14ac:dyDescent="0.2">
      <c r="A9" s="731" t="s">
        <v>105</v>
      </c>
      <c r="B9" s="865">
        <v>1.7210000000000001</v>
      </c>
      <c r="C9" s="865">
        <v>1.7210000000000001</v>
      </c>
      <c r="D9" s="865">
        <v>1.7210000000000001</v>
      </c>
      <c r="E9" s="867">
        <v>1.7210000000000001</v>
      </c>
      <c r="F9" s="733">
        <v>1.7210000000000001</v>
      </c>
      <c r="G9" s="733">
        <v>1.7210000000000001</v>
      </c>
      <c r="H9" s="733">
        <v>1.7210000000000001</v>
      </c>
      <c r="I9" s="733">
        <v>1.7210000000000001</v>
      </c>
      <c r="J9" s="733">
        <v>1.7210000000000001</v>
      </c>
      <c r="W9" s="868"/>
      <c r="X9" s="868"/>
      <c r="Y9" s="868"/>
      <c r="Z9" s="868"/>
    </row>
    <row r="10" spans="1:26" ht="14.25" customHeight="1" x14ac:dyDescent="0.2">
      <c r="A10" s="731" t="s">
        <v>106</v>
      </c>
      <c r="B10" s="865">
        <v>4.601</v>
      </c>
      <c r="C10" s="865">
        <v>4.601</v>
      </c>
      <c r="D10" s="865">
        <v>4.601</v>
      </c>
      <c r="E10" s="867">
        <v>4.601</v>
      </c>
      <c r="F10" s="733">
        <v>4.601</v>
      </c>
      <c r="G10" s="733">
        <v>4.601</v>
      </c>
      <c r="H10" s="733">
        <v>4.601</v>
      </c>
      <c r="I10" s="733">
        <v>4.601</v>
      </c>
      <c r="J10" s="733">
        <v>4.601</v>
      </c>
      <c r="W10" s="868"/>
      <c r="X10" s="868"/>
      <c r="Y10" s="868"/>
      <c r="Z10" s="868"/>
    </row>
    <row r="11" spans="1:26" ht="14.25" customHeight="1" x14ac:dyDescent="0.2">
      <c r="A11" s="731" t="s">
        <v>107</v>
      </c>
      <c r="B11" s="865">
        <v>4.7530000000000001</v>
      </c>
      <c r="C11" s="865">
        <v>4.7530000000000001</v>
      </c>
      <c r="D11" s="865">
        <v>4.7530000000000001</v>
      </c>
      <c r="E11" s="867">
        <v>4.7530000000000001</v>
      </c>
      <c r="F11" s="733">
        <v>4.7530000000000001</v>
      </c>
      <c r="G11" s="733">
        <v>4.7530000000000001</v>
      </c>
      <c r="H11" s="733">
        <v>4.7530000000000001</v>
      </c>
      <c r="I11" s="733">
        <v>4.7530000000000001</v>
      </c>
      <c r="J11" s="733">
        <v>4.7530000000000001</v>
      </c>
      <c r="W11" s="868"/>
      <c r="X11" s="868"/>
      <c r="Y11" s="868"/>
      <c r="Z11" s="868"/>
    </row>
    <row r="12" spans="1:26" ht="14.25" customHeight="1" x14ac:dyDescent="0.2">
      <c r="A12" s="731" t="s">
        <v>682</v>
      </c>
      <c r="E12" s="867">
        <v>4.7530000000000001</v>
      </c>
      <c r="F12" s="733">
        <v>4.7530000000000001</v>
      </c>
      <c r="G12" s="870" t="s">
        <v>683</v>
      </c>
    </row>
    <row r="14" spans="1:26" ht="14.25" customHeight="1" x14ac:dyDescent="0.2">
      <c r="A14" s="871" t="s">
        <v>684</v>
      </c>
    </row>
    <row r="15" spans="1:26" ht="14.25" customHeight="1" x14ac:dyDescent="0.2">
      <c r="A15" s="872" t="s">
        <v>107</v>
      </c>
      <c r="B15" s="873">
        <v>30000</v>
      </c>
      <c r="C15" s="873">
        <v>30000</v>
      </c>
      <c r="D15" s="873">
        <v>30000</v>
      </c>
      <c r="E15" s="873">
        <v>30000</v>
      </c>
      <c r="F15" s="873">
        <v>30000</v>
      </c>
      <c r="G15" s="873">
        <v>30000</v>
      </c>
      <c r="H15" s="873">
        <v>30000</v>
      </c>
      <c r="I15" s="873">
        <v>30000</v>
      </c>
      <c r="J15" s="873">
        <v>30000</v>
      </c>
    </row>
    <row r="16" spans="1:26" ht="14.25" customHeight="1" x14ac:dyDescent="0.2">
      <c r="A16" s="720" t="s">
        <v>682</v>
      </c>
      <c r="B16" s="874" t="s">
        <v>685</v>
      </c>
      <c r="C16" s="874" t="s">
        <v>685</v>
      </c>
      <c r="D16" s="874" t="s">
        <v>685</v>
      </c>
      <c r="E16" s="875">
        <v>20000</v>
      </c>
      <c r="F16" s="875">
        <v>20000</v>
      </c>
      <c r="G16" s="876" t="s">
        <v>686</v>
      </c>
      <c r="H16" s="876"/>
      <c r="I16" s="876"/>
      <c r="J16" s="876"/>
    </row>
    <row r="17" spans="1:17" ht="14.25" customHeight="1" x14ac:dyDescent="0.2">
      <c r="A17" s="738" t="s">
        <v>106</v>
      </c>
      <c r="B17" s="875">
        <v>30000</v>
      </c>
      <c r="C17" s="875">
        <v>30000</v>
      </c>
      <c r="D17" s="875">
        <v>30000</v>
      </c>
      <c r="E17" s="875">
        <v>30000</v>
      </c>
      <c r="F17" s="875">
        <v>30000</v>
      </c>
      <c r="G17" s="875">
        <v>30000</v>
      </c>
      <c r="H17" s="875">
        <v>30000</v>
      </c>
      <c r="I17" s="875">
        <v>30000</v>
      </c>
      <c r="J17" s="875">
        <v>30000</v>
      </c>
    </row>
    <row r="18" spans="1:17" ht="14.25" customHeight="1" x14ac:dyDescent="0.2">
      <c r="A18" s="738" t="s">
        <v>687</v>
      </c>
      <c r="B18" s="875">
        <v>20000</v>
      </c>
      <c r="C18" s="875">
        <v>20000</v>
      </c>
      <c r="D18" s="875">
        <v>20000</v>
      </c>
      <c r="E18" s="875">
        <v>20000</v>
      </c>
      <c r="F18" s="875">
        <v>20000</v>
      </c>
      <c r="G18" s="875">
        <v>20000</v>
      </c>
      <c r="H18" s="875">
        <v>20000</v>
      </c>
      <c r="I18" s="875">
        <v>20000</v>
      </c>
      <c r="J18" s="875">
        <v>20000</v>
      </c>
    </row>
    <row r="19" spans="1:17" ht="14.25" customHeight="1" x14ac:dyDescent="0.2">
      <c r="A19" s="720" t="s">
        <v>688</v>
      </c>
      <c r="B19" s="720">
        <v>200</v>
      </c>
      <c r="C19" s="720">
        <v>200</v>
      </c>
      <c r="D19" s="720">
        <v>200</v>
      </c>
      <c r="E19" s="720">
        <v>200</v>
      </c>
      <c r="F19" s="720">
        <v>200</v>
      </c>
      <c r="G19" s="720">
        <v>200</v>
      </c>
      <c r="H19" s="720">
        <v>200</v>
      </c>
      <c r="I19" s="720">
        <v>200</v>
      </c>
      <c r="J19" s="720">
        <v>200</v>
      </c>
    </row>
    <row r="22" spans="1:17" ht="14.25" customHeight="1" x14ac:dyDescent="0.2">
      <c r="H22" s="874" t="s">
        <v>689</v>
      </c>
      <c r="I22" s="874" t="s">
        <v>690</v>
      </c>
    </row>
    <row r="23" spans="1:17" ht="14.25" customHeight="1" x14ac:dyDescent="0.2">
      <c r="B23" s="864" t="s">
        <v>673</v>
      </c>
      <c r="C23" s="864" t="s">
        <v>674</v>
      </c>
      <c r="D23" s="864" t="s">
        <v>675</v>
      </c>
      <c r="E23" s="864" t="s">
        <v>676</v>
      </c>
      <c r="F23" s="864" t="s">
        <v>677</v>
      </c>
      <c r="G23" s="864" t="s">
        <v>678</v>
      </c>
      <c r="H23" s="864" t="s">
        <v>691</v>
      </c>
      <c r="I23" s="864" t="s">
        <v>691</v>
      </c>
      <c r="J23" s="864" t="s">
        <v>692</v>
      </c>
      <c r="K23" s="864" t="s">
        <v>693</v>
      </c>
      <c r="L23" s="864" t="s">
        <v>694</v>
      </c>
      <c r="M23" s="864" t="s">
        <v>680</v>
      </c>
      <c r="N23" s="864" t="s">
        <v>681</v>
      </c>
    </row>
    <row r="24" spans="1:17" ht="14.25" customHeight="1" x14ac:dyDescent="0.2">
      <c r="A24" s="862" t="s">
        <v>695</v>
      </c>
      <c r="B24" s="877">
        <v>11383.092038277609</v>
      </c>
      <c r="C24" s="877">
        <v>11776.479600000001</v>
      </c>
      <c r="D24" s="878">
        <v>9933.8786390000005</v>
      </c>
      <c r="E24" s="877">
        <v>10986.632311666757</v>
      </c>
      <c r="F24" s="877">
        <v>10840.508082551585</v>
      </c>
      <c r="G24" s="877">
        <v>11128.58496218439</v>
      </c>
      <c r="H24" s="877">
        <v>8429.1728856326499</v>
      </c>
      <c r="I24" s="877">
        <v>8874.4564673382411</v>
      </c>
      <c r="J24" s="721">
        <v>9526.8573892156001</v>
      </c>
      <c r="K24" s="721">
        <v>9829.034570846281</v>
      </c>
      <c r="L24" s="721">
        <v>9430.7878590258842</v>
      </c>
      <c r="M24" s="721">
        <v>9621.6635067952921</v>
      </c>
      <c r="N24" s="721">
        <v>9621.6635067952921</v>
      </c>
    </row>
    <row r="25" spans="1:17" ht="14.25" customHeight="1" x14ac:dyDescent="0.2">
      <c r="A25" s="879" t="s">
        <v>359</v>
      </c>
      <c r="B25" s="726"/>
      <c r="C25" s="726"/>
      <c r="D25" s="726"/>
      <c r="E25" s="726"/>
      <c r="F25" s="726"/>
      <c r="G25" s="726"/>
      <c r="H25" s="726"/>
      <c r="I25" s="726"/>
      <c r="J25" s="726"/>
      <c r="K25" s="726"/>
      <c r="L25" s="726"/>
      <c r="M25" s="726"/>
      <c r="N25" s="726"/>
    </row>
    <row r="26" spans="1:17" ht="14.25" customHeight="1" x14ac:dyDescent="0.2">
      <c r="A26" s="880" t="s">
        <v>100</v>
      </c>
      <c r="B26" s="881">
        <f t="shared" ref="B26:F35" si="0">B3*B$24</f>
        <v>11383.092038277609</v>
      </c>
      <c r="C26" s="881">
        <f t="shared" si="0"/>
        <v>11776.479600000001</v>
      </c>
      <c r="D26" s="881">
        <f t="shared" si="0"/>
        <v>9933.8786390000005</v>
      </c>
      <c r="E26" s="881">
        <f t="shared" si="0"/>
        <v>10986.632311666757</v>
      </c>
      <c r="F26" s="881">
        <f t="shared" si="0"/>
        <v>10840.508082551585</v>
      </c>
      <c r="G26" s="881">
        <v>11128.58496218439</v>
      </c>
      <c r="H26" s="881">
        <v>8429.1728856326499</v>
      </c>
      <c r="I26" s="881">
        <v>8874.4564673382411</v>
      </c>
      <c r="J26" s="881">
        <v>9526.8573892156001</v>
      </c>
      <c r="K26" s="881">
        <v>9829.034570846281</v>
      </c>
      <c r="L26" s="881">
        <v>9430.7878590258842</v>
      </c>
      <c r="M26" s="881">
        <v>9621.6635067952921</v>
      </c>
      <c r="N26" s="881">
        <v>9621.6635067952921</v>
      </c>
      <c r="O26" s="882"/>
      <c r="P26" s="882"/>
      <c r="Q26" s="883"/>
    </row>
    <row r="27" spans="1:17" ht="14.25" customHeight="1" x14ac:dyDescent="0.2">
      <c r="A27" s="731" t="s">
        <v>101</v>
      </c>
      <c r="B27" s="868">
        <f t="shared" si="0"/>
        <v>11587.987694966607</v>
      </c>
      <c r="C27" s="868">
        <f t="shared" si="0"/>
        <v>11988.456232800001</v>
      </c>
      <c r="D27" s="868">
        <f t="shared" si="0"/>
        <v>10112.688454502</v>
      </c>
      <c r="E27" s="868">
        <f t="shared" si="0"/>
        <v>11184.391693276759</v>
      </c>
      <c r="F27" s="868">
        <f t="shared" si="0"/>
        <v>11035.637228037514</v>
      </c>
      <c r="G27" s="868">
        <v>11328.899491503709</v>
      </c>
      <c r="H27" s="868">
        <v>8580.8979975740385</v>
      </c>
      <c r="I27" s="868">
        <v>9034.1966837503296</v>
      </c>
      <c r="J27" s="868">
        <v>9698.3408222214803</v>
      </c>
      <c r="K27" s="868">
        <v>10005.957193121514</v>
      </c>
      <c r="L27" s="868">
        <v>9600.5420404883498</v>
      </c>
      <c r="M27" s="868">
        <v>9794.8534499176076</v>
      </c>
      <c r="N27" s="868">
        <v>9794.8534499176076</v>
      </c>
      <c r="Q27" s="739"/>
    </row>
    <row r="28" spans="1:17" ht="14.25" customHeight="1" x14ac:dyDescent="0.2">
      <c r="A28" s="731" t="s">
        <v>102</v>
      </c>
      <c r="B28" s="868">
        <f t="shared" si="0"/>
        <v>0</v>
      </c>
      <c r="C28" s="868">
        <f t="shared" si="0"/>
        <v>0</v>
      </c>
      <c r="D28" s="868">
        <f t="shared" si="0"/>
        <v>0</v>
      </c>
      <c r="E28" s="868">
        <f t="shared" si="0"/>
        <v>0</v>
      </c>
      <c r="F28" s="868">
        <f t="shared" si="0"/>
        <v>10840.508082551585</v>
      </c>
      <c r="G28" s="868">
        <v>11128.58496218439</v>
      </c>
      <c r="H28" s="868">
        <v>8429.1728856326499</v>
      </c>
      <c r="I28" s="868">
        <v>8874.4564673382411</v>
      </c>
      <c r="J28" s="868">
        <v>9526.8573892156001</v>
      </c>
      <c r="K28" s="868">
        <v>9829.034570846281</v>
      </c>
      <c r="L28" s="868">
        <v>9430.7878590258842</v>
      </c>
      <c r="M28" s="868">
        <v>16837.911136891762</v>
      </c>
      <c r="N28" s="868">
        <v>16837.911136891762</v>
      </c>
      <c r="Q28" s="739"/>
    </row>
    <row r="29" spans="1:17" ht="14.25" customHeight="1" x14ac:dyDescent="0.2">
      <c r="A29" s="731" t="s">
        <v>135</v>
      </c>
      <c r="B29" s="868">
        <f t="shared" si="0"/>
        <v>12953.958739559919</v>
      </c>
      <c r="C29" s="868">
        <f t="shared" si="0"/>
        <v>13401.6337848</v>
      </c>
      <c r="D29" s="868">
        <f t="shared" si="0"/>
        <v>11304.753891181999</v>
      </c>
      <c r="E29" s="868">
        <f t="shared" si="0"/>
        <v>12502.787570676768</v>
      </c>
      <c r="F29" s="868">
        <f t="shared" si="0"/>
        <v>12336.498197943703</v>
      </c>
      <c r="G29" s="868">
        <v>12664.329686965835</v>
      </c>
      <c r="H29" s="868">
        <v>9592.3987438499553</v>
      </c>
      <c r="I29" s="868">
        <v>10099.131459830918</v>
      </c>
      <c r="J29" s="868">
        <v>10841.563708927351</v>
      </c>
      <c r="K29" s="868">
        <v>11185.441341623067</v>
      </c>
      <c r="L29" s="868">
        <v>10732.236583571455</v>
      </c>
      <c r="M29" s="868">
        <v>10949.453070733041</v>
      </c>
      <c r="N29" s="868">
        <v>10949.453070733041</v>
      </c>
      <c r="Q29" s="739"/>
    </row>
    <row r="30" spans="1:17" ht="14.25" customHeight="1" x14ac:dyDescent="0.2">
      <c r="A30" s="731" t="s">
        <v>183</v>
      </c>
      <c r="B30" s="868">
        <f t="shared" si="0"/>
        <v>0</v>
      </c>
      <c r="C30" s="868">
        <f t="shared" si="0"/>
        <v>0</v>
      </c>
      <c r="D30" s="868">
        <f t="shared" si="0"/>
        <v>0</v>
      </c>
      <c r="E30" s="868">
        <f t="shared" si="0"/>
        <v>12502.787570676768</v>
      </c>
      <c r="F30" s="868">
        <f t="shared" si="0"/>
        <v>12336.498197943703</v>
      </c>
      <c r="G30" s="868">
        <v>12664.329686965835</v>
      </c>
      <c r="H30" s="868">
        <v>9592.3987438499553</v>
      </c>
      <c r="I30" s="868">
        <v>10099.131459830918</v>
      </c>
      <c r="J30" s="868">
        <v>10841.563708927351</v>
      </c>
      <c r="K30" s="868">
        <v>11185.441341623067</v>
      </c>
      <c r="L30" s="868">
        <v>10732.236583571455</v>
      </c>
      <c r="M30" s="868">
        <v>10949.453070733041</v>
      </c>
      <c r="N30" s="868">
        <v>10949.453070733041</v>
      </c>
      <c r="Q30" s="739"/>
    </row>
    <row r="31" spans="1:17" ht="14.25" customHeight="1" x14ac:dyDescent="0.2">
      <c r="A31" s="731" t="s">
        <v>104</v>
      </c>
      <c r="B31" s="868">
        <f t="shared" si="0"/>
        <v>19006.17332382295</v>
      </c>
      <c r="C31" s="868">
        <f t="shared" si="0"/>
        <v>19663.006472179291</v>
      </c>
      <c r="D31" s="868">
        <f t="shared" si="0"/>
        <v>16586.444048398014</v>
      </c>
      <c r="E31" s="868">
        <f t="shared" si="0"/>
        <v>18347.675960483484</v>
      </c>
      <c r="F31" s="868">
        <f t="shared" si="0"/>
        <v>18103.648497861148</v>
      </c>
      <c r="G31" s="868">
        <v>18584.736886847932</v>
      </c>
      <c r="H31" s="868">
        <v>14076.718719006525</v>
      </c>
      <c r="I31" s="868">
        <v>14820.342300454862</v>
      </c>
      <c r="J31" s="868">
        <v>15909.851839990051</v>
      </c>
      <c r="K31" s="868">
        <v>16414.48773331329</v>
      </c>
      <c r="L31" s="868">
        <v>15749.415724573226</v>
      </c>
      <c r="M31" s="868">
        <v>16068.178056348137</v>
      </c>
      <c r="N31" s="868">
        <v>16068.178056348137</v>
      </c>
      <c r="Q31" s="739"/>
    </row>
    <row r="32" spans="1:17" ht="14.25" customHeight="1" x14ac:dyDescent="0.2">
      <c r="A32" s="731" t="s">
        <v>105</v>
      </c>
      <c r="B32" s="868">
        <f t="shared" si="0"/>
        <v>19590.301397875766</v>
      </c>
      <c r="C32" s="868">
        <f t="shared" si="0"/>
        <v>20267.321391600002</v>
      </c>
      <c r="D32" s="868">
        <f t="shared" si="0"/>
        <v>17096.205137719</v>
      </c>
      <c r="E32" s="868">
        <f t="shared" si="0"/>
        <v>18907.994208378492</v>
      </c>
      <c r="F32" s="868">
        <f t="shared" si="0"/>
        <v>18656.514410071279</v>
      </c>
      <c r="G32" s="868">
        <v>19152.294719919337</v>
      </c>
      <c r="H32" s="868">
        <v>14506.606536173791</v>
      </c>
      <c r="I32" s="868">
        <v>15272.939580289114</v>
      </c>
      <c r="J32" s="868">
        <v>16395.721566840049</v>
      </c>
      <c r="K32" s="868">
        <v>16915.768496426452</v>
      </c>
      <c r="L32" s="868">
        <v>16230.385905383548</v>
      </c>
      <c r="M32" s="868">
        <v>16558.8828951947</v>
      </c>
      <c r="N32" s="868">
        <v>16558.8828951947</v>
      </c>
      <c r="Q32" s="739"/>
    </row>
    <row r="33" spans="1:17" ht="14.25" customHeight="1" x14ac:dyDescent="0.2">
      <c r="A33" s="731" t="s">
        <v>106</v>
      </c>
      <c r="B33" s="868">
        <f t="shared" si="0"/>
        <v>52373.606468115278</v>
      </c>
      <c r="C33" s="868">
        <f t="shared" si="0"/>
        <v>54183.582639600005</v>
      </c>
      <c r="D33" s="868">
        <f t="shared" si="0"/>
        <v>45705.775618038999</v>
      </c>
      <c r="E33" s="868">
        <f t="shared" si="0"/>
        <v>50549.495265978752</v>
      </c>
      <c r="F33" s="868">
        <f t="shared" si="0"/>
        <v>49877.177687819843</v>
      </c>
      <c r="G33" s="868">
        <v>51202.619411010375</v>
      </c>
      <c r="H33" s="868">
        <v>38782.624446795824</v>
      </c>
      <c r="I33" s="868">
        <v>40831.374206223249</v>
      </c>
      <c r="J33" s="868">
        <v>43833.070847780975</v>
      </c>
      <c r="K33" s="868">
        <v>45223.388060463738</v>
      </c>
      <c r="L33" s="868">
        <v>43391.054939378097</v>
      </c>
      <c r="M33" s="868">
        <v>44269.27379476514</v>
      </c>
      <c r="N33" s="868">
        <v>44269.27379476514</v>
      </c>
      <c r="Q33" s="739"/>
    </row>
    <row r="34" spans="1:17" ht="14.25" customHeight="1" x14ac:dyDescent="0.2">
      <c r="A34" s="731" t="s">
        <v>107</v>
      </c>
      <c r="B34" s="868">
        <f t="shared" si="0"/>
        <v>54103.836457933481</v>
      </c>
      <c r="C34" s="868">
        <f t="shared" si="0"/>
        <v>55973.607538800003</v>
      </c>
      <c r="D34" s="868">
        <f t="shared" si="0"/>
        <v>47215.725171167003</v>
      </c>
      <c r="E34" s="868">
        <f t="shared" si="0"/>
        <v>52219.463377352098</v>
      </c>
      <c r="F34" s="868">
        <f t="shared" si="0"/>
        <v>51524.934916367689</v>
      </c>
      <c r="G34" s="868">
        <v>52894.164325262405</v>
      </c>
      <c r="H34" s="868">
        <v>40063.858725411985</v>
      </c>
      <c r="I34" s="868">
        <v>42180.291589258661</v>
      </c>
      <c r="J34" s="868">
        <v>45281.153170941747</v>
      </c>
      <c r="K34" s="868">
        <v>46717.401315232375</v>
      </c>
      <c r="L34" s="868">
        <v>44824.53469395003</v>
      </c>
      <c r="M34" s="868">
        <v>45731.766647798024</v>
      </c>
      <c r="N34" s="868">
        <v>45731.766647798024</v>
      </c>
      <c r="Q34" s="739"/>
    </row>
    <row r="35" spans="1:17" ht="14.25" customHeight="1" x14ac:dyDescent="0.2">
      <c r="A35" s="731" t="s">
        <v>682</v>
      </c>
      <c r="B35" s="868">
        <f t="shared" si="0"/>
        <v>0</v>
      </c>
      <c r="C35" s="868">
        <f t="shared" si="0"/>
        <v>0</v>
      </c>
      <c r="D35" s="868">
        <f t="shared" si="0"/>
        <v>0</v>
      </c>
      <c r="E35" s="868">
        <f t="shared" si="0"/>
        <v>52219.463377352098</v>
      </c>
      <c r="F35" s="868">
        <f t="shared" si="0"/>
        <v>51524.934916367689</v>
      </c>
      <c r="G35" s="868">
        <v>52894.164325262405</v>
      </c>
      <c r="H35" s="868"/>
      <c r="Q35" s="739"/>
    </row>
    <row r="36" spans="1:17" ht="14.25" customHeight="1" x14ac:dyDescent="0.2">
      <c r="A36" s="740"/>
      <c r="B36" s="741"/>
      <c r="C36" s="741"/>
      <c r="D36" s="741"/>
      <c r="E36" s="741"/>
      <c r="F36" s="741"/>
      <c r="G36" s="741"/>
      <c r="H36" s="741"/>
      <c r="I36" s="741"/>
      <c r="J36" s="741"/>
      <c r="K36" s="741"/>
      <c r="L36" s="741"/>
      <c r="M36" s="741"/>
      <c r="N36" s="741"/>
      <c r="O36" s="741"/>
      <c r="P36" s="741"/>
      <c r="Q36" s="742"/>
    </row>
    <row r="37" spans="1:17" ht="14.25" customHeight="1" x14ac:dyDescent="0.2">
      <c r="A37" s="862"/>
    </row>
    <row r="38" spans="1:17" ht="14.25" customHeight="1" x14ac:dyDescent="0.2">
      <c r="A38" s="862" t="s">
        <v>696</v>
      </c>
    </row>
    <row r="39" spans="1:17" ht="14.25" customHeight="1" x14ac:dyDescent="0.2">
      <c r="A39" s="720" t="s">
        <v>697</v>
      </c>
      <c r="B39" s="864" t="s">
        <v>673</v>
      </c>
      <c r="C39" s="864" t="s">
        <v>674</v>
      </c>
      <c r="D39" s="864" t="s">
        <v>675</v>
      </c>
      <c r="E39" s="864" t="s">
        <v>676</v>
      </c>
      <c r="F39" s="864" t="s">
        <v>677</v>
      </c>
      <c r="G39" s="864" t="s">
        <v>678</v>
      </c>
      <c r="H39" s="864" t="s">
        <v>691</v>
      </c>
      <c r="I39" s="864"/>
      <c r="J39" s="864" t="s">
        <v>692</v>
      </c>
      <c r="K39" s="864" t="s">
        <v>693</v>
      </c>
      <c r="L39" s="864" t="s">
        <v>694</v>
      </c>
      <c r="M39" s="864" t="s">
        <v>680</v>
      </c>
      <c r="N39" s="864" t="s">
        <v>681</v>
      </c>
    </row>
    <row r="40" spans="1:17" ht="14.25" customHeight="1" x14ac:dyDescent="0.2">
      <c r="A40" s="727" t="s">
        <v>100</v>
      </c>
      <c r="B40" s="884">
        <v>2246.09</v>
      </c>
      <c r="C40" s="885">
        <v>2149.67</v>
      </c>
      <c r="D40" s="885">
        <v>2452.58</v>
      </c>
      <c r="E40" s="885">
        <v>2959.96</v>
      </c>
      <c r="F40" s="885">
        <v>3165.52</v>
      </c>
      <c r="G40" s="885">
        <v>3750.21</v>
      </c>
      <c r="H40" s="885">
        <v>4242.74</v>
      </c>
      <c r="I40" s="885"/>
      <c r="J40" s="885">
        <v>4827.4399999999996</v>
      </c>
      <c r="K40" s="720">
        <v>5051.75</v>
      </c>
      <c r="L40" s="720">
        <v>5222.88</v>
      </c>
      <c r="M40" s="886">
        <v>5952.67</v>
      </c>
      <c r="N40" s="720">
        <v>6454.07</v>
      </c>
    </row>
    <row r="41" spans="1:17" ht="14.25" customHeight="1" x14ac:dyDescent="0.2">
      <c r="A41" s="731" t="s">
        <v>101</v>
      </c>
      <c r="B41" s="884">
        <v>2017.59</v>
      </c>
      <c r="C41" s="885">
        <v>1748.2</v>
      </c>
      <c r="D41" s="885">
        <v>2057.7600000000002</v>
      </c>
      <c r="E41" s="885">
        <v>2691.69</v>
      </c>
      <c r="F41" s="885">
        <v>2860.64</v>
      </c>
      <c r="G41" s="885">
        <v>2848.2299999999996</v>
      </c>
      <c r="H41" s="885">
        <v>3094.85</v>
      </c>
      <c r="I41" s="885"/>
      <c r="J41" s="885">
        <v>3010.9200000000005</v>
      </c>
      <c r="K41" s="720">
        <v>2775.1900000000005</v>
      </c>
      <c r="L41" s="720">
        <v>2713.6200000000003</v>
      </c>
      <c r="M41" s="886">
        <v>2715.7900000000004</v>
      </c>
      <c r="N41" s="720">
        <v>2828.24</v>
      </c>
    </row>
    <row r="42" spans="1:17" ht="14.25" customHeight="1" x14ac:dyDescent="0.2">
      <c r="A42" s="731" t="s">
        <v>102</v>
      </c>
      <c r="B42" s="887" t="s">
        <v>698</v>
      </c>
      <c r="C42" s="887" t="s">
        <v>698</v>
      </c>
      <c r="D42" s="887" t="s">
        <v>698</v>
      </c>
      <c r="E42" s="887" t="s">
        <v>698</v>
      </c>
      <c r="F42" s="885">
        <v>45.19</v>
      </c>
      <c r="G42" s="885">
        <v>60.82</v>
      </c>
      <c r="H42" s="885">
        <v>77.819999999999993</v>
      </c>
      <c r="I42" s="885"/>
      <c r="J42" s="885">
        <v>104.82</v>
      </c>
      <c r="K42" s="720">
        <v>110.06</v>
      </c>
      <c r="L42" s="720">
        <v>171.56</v>
      </c>
      <c r="M42" s="886">
        <v>141.6</v>
      </c>
      <c r="N42" s="720">
        <v>172.82</v>
      </c>
    </row>
    <row r="43" spans="1:17" ht="14.25" customHeight="1" x14ac:dyDescent="0.2">
      <c r="A43" s="731" t="s">
        <v>135</v>
      </c>
      <c r="B43" s="885">
        <v>1746.23</v>
      </c>
      <c r="C43" s="885">
        <v>1145.6666666666667</v>
      </c>
      <c r="D43" s="885">
        <v>1416.36</v>
      </c>
      <c r="E43" s="885">
        <v>1536.19</v>
      </c>
      <c r="F43" s="885">
        <v>1653.11</v>
      </c>
      <c r="G43" s="885">
        <v>1910.23</v>
      </c>
      <c r="H43" s="885">
        <v>2879.98</v>
      </c>
      <c r="I43" s="885"/>
      <c r="J43" s="885">
        <v>3397.28</v>
      </c>
      <c r="K43" s="720">
        <v>3767.54</v>
      </c>
      <c r="L43" s="720">
        <v>4165.8999999999996</v>
      </c>
      <c r="M43" s="886">
        <v>4590.3600000000006</v>
      </c>
      <c r="N43" s="720">
        <v>4533.87</v>
      </c>
    </row>
    <row r="44" spans="1:17" ht="14.25" customHeight="1" x14ac:dyDescent="0.2">
      <c r="A44" s="731" t="s">
        <v>183</v>
      </c>
      <c r="B44" s="887" t="s">
        <v>699</v>
      </c>
      <c r="C44" s="885">
        <v>644.34722222222217</v>
      </c>
      <c r="D44" s="885">
        <v>645.27</v>
      </c>
      <c r="E44" s="885">
        <v>826.56</v>
      </c>
      <c r="F44" s="885">
        <v>943.03</v>
      </c>
      <c r="G44" s="885">
        <v>941.04</v>
      </c>
      <c r="H44" s="885">
        <v>1118.17</v>
      </c>
      <c r="I44" s="885"/>
      <c r="J44" s="885">
        <v>1244.5100000000002</v>
      </c>
      <c r="K44" s="720">
        <v>1538.9399999999998</v>
      </c>
      <c r="L44" s="720">
        <v>1854.8000000000002</v>
      </c>
      <c r="M44" s="886">
        <v>2205.48</v>
      </c>
      <c r="N44" s="720">
        <v>2219.98</v>
      </c>
    </row>
    <row r="45" spans="1:17" ht="14.25" customHeight="1" x14ac:dyDescent="0.2">
      <c r="A45" s="731" t="s">
        <v>104</v>
      </c>
      <c r="B45" s="884">
        <v>256</v>
      </c>
      <c r="C45" s="885">
        <v>519.54</v>
      </c>
      <c r="D45" s="885">
        <v>535.38</v>
      </c>
      <c r="E45" s="885">
        <v>547.59</v>
      </c>
      <c r="F45" s="885">
        <v>707.21</v>
      </c>
      <c r="G45" s="885">
        <v>1092.67</v>
      </c>
      <c r="H45" s="885">
        <v>1400.63</v>
      </c>
      <c r="I45" s="885"/>
      <c r="J45" s="885">
        <v>1525.25</v>
      </c>
      <c r="K45" s="720">
        <v>1891.17</v>
      </c>
      <c r="L45" s="720">
        <v>2284.2600000000002</v>
      </c>
      <c r="M45" s="886">
        <v>2434.5500000000002</v>
      </c>
      <c r="N45" s="720">
        <v>2292.42</v>
      </c>
    </row>
    <row r="46" spans="1:17" ht="14.25" customHeight="1" x14ac:dyDescent="0.2">
      <c r="A46" s="731" t="s">
        <v>105</v>
      </c>
      <c r="B46" s="884">
        <v>746.68</v>
      </c>
      <c r="C46" s="885">
        <v>745.42</v>
      </c>
      <c r="D46" s="885">
        <v>871.16</v>
      </c>
      <c r="E46" s="885">
        <v>912.12</v>
      </c>
      <c r="F46" s="885">
        <v>1048.1600000000001</v>
      </c>
      <c r="G46" s="885">
        <v>1199.33</v>
      </c>
      <c r="H46" s="885">
        <v>1609.7500000000002</v>
      </c>
      <c r="I46" s="885"/>
      <c r="J46" s="885">
        <v>1701.4500000000003</v>
      </c>
      <c r="K46" s="720">
        <v>1744.1399999999999</v>
      </c>
      <c r="L46" s="720">
        <v>1847.06</v>
      </c>
      <c r="M46" s="886">
        <v>2059.39</v>
      </c>
      <c r="N46" s="720">
        <v>2677.71</v>
      </c>
    </row>
    <row r="47" spans="1:17" ht="14.25" customHeight="1" x14ac:dyDescent="0.2">
      <c r="A47" s="731" t="s">
        <v>106</v>
      </c>
      <c r="B47" s="884">
        <v>1132</v>
      </c>
      <c r="C47" s="885">
        <v>1179</v>
      </c>
      <c r="D47" s="885">
        <v>1052</v>
      </c>
      <c r="E47" s="885">
        <v>1149</v>
      </c>
      <c r="F47" s="885">
        <v>1218</v>
      </c>
      <c r="G47" s="885">
        <v>1354</v>
      </c>
      <c r="H47" s="885">
        <v>1395</v>
      </c>
      <c r="I47" s="885"/>
      <c r="J47" s="885">
        <v>1454</v>
      </c>
      <c r="K47" s="886">
        <v>1486</v>
      </c>
      <c r="L47" s="886">
        <v>1534</v>
      </c>
      <c r="M47" s="886">
        <v>1529</v>
      </c>
      <c r="N47" s="886">
        <v>1532</v>
      </c>
    </row>
    <row r="48" spans="1:17" ht="14.25" customHeight="1" x14ac:dyDescent="0.2">
      <c r="A48" s="731" t="s">
        <v>107</v>
      </c>
      <c r="B48" s="884">
        <v>4486</v>
      </c>
      <c r="C48" s="885">
        <v>4484</v>
      </c>
      <c r="D48" s="885">
        <v>4551</v>
      </c>
      <c r="E48" s="885">
        <v>4684</v>
      </c>
      <c r="F48" s="884">
        <v>4944</v>
      </c>
      <c r="G48" s="884">
        <v>5229</v>
      </c>
      <c r="H48" s="884">
        <v>5650</v>
      </c>
      <c r="I48" s="884"/>
      <c r="J48" s="884">
        <v>6113</v>
      </c>
      <c r="K48" s="886">
        <v>6416</v>
      </c>
      <c r="L48" s="886">
        <v>6598</v>
      </c>
      <c r="M48" s="886">
        <v>6737</v>
      </c>
      <c r="N48" s="886">
        <v>6820</v>
      </c>
    </row>
    <row r="49" spans="1:14" ht="14.25" customHeight="1" x14ac:dyDescent="0.2">
      <c r="A49" s="731"/>
      <c r="B49" s="888"/>
      <c r="C49" s="888"/>
      <c r="D49" s="889"/>
      <c r="E49" s="889"/>
      <c r="F49" s="890"/>
      <c r="G49" s="890"/>
      <c r="H49" s="890"/>
      <c r="I49" s="890"/>
      <c r="J49" s="890"/>
      <c r="K49" s="890"/>
      <c r="L49" s="890"/>
      <c r="M49" s="891"/>
      <c r="N49" s="890"/>
    </row>
    <row r="50" spans="1:14" ht="14.25" customHeight="1" x14ac:dyDescent="0.2">
      <c r="B50" s="885">
        <f t="shared" ref="B50:H50" si="1">SUM(B40:B49)</f>
        <v>12630.59</v>
      </c>
      <c r="C50" s="885">
        <f t="shared" si="1"/>
        <v>12615.843888888889</v>
      </c>
      <c r="D50" s="885">
        <f t="shared" si="1"/>
        <v>13581.509999999998</v>
      </c>
      <c r="E50" s="885">
        <f t="shared" si="1"/>
        <v>15307.11</v>
      </c>
      <c r="F50" s="885">
        <f t="shared" si="1"/>
        <v>16584.86</v>
      </c>
      <c r="G50" s="885">
        <f t="shared" si="1"/>
        <v>18385.53</v>
      </c>
      <c r="H50" s="885">
        <f t="shared" si="1"/>
        <v>21468.94</v>
      </c>
      <c r="I50" s="885"/>
      <c r="J50" s="885">
        <f>SUM(J40:J49)</f>
        <v>23378.670000000002</v>
      </c>
      <c r="K50" s="885">
        <f>SUM(K40:K49)</f>
        <v>24780.79</v>
      </c>
      <c r="L50" s="885">
        <f>SUM(L40:L49)</f>
        <v>26392.079999999998</v>
      </c>
      <c r="M50" s="885">
        <f>SUM(M40:M49)</f>
        <v>28365.84</v>
      </c>
      <c r="N50" s="885">
        <f>SUM(N40:N49)</f>
        <v>29531.11</v>
      </c>
    </row>
    <row r="51" spans="1:14" ht="14.25" customHeight="1" x14ac:dyDescent="0.2">
      <c r="B51" s="885"/>
      <c r="C51" s="885"/>
      <c r="D51" s="885"/>
      <c r="E51" s="885"/>
      <c r="F51" s="884"/>
      <c r="H51" s="892"/>
      <c r="I51" s="892"/>
      <c r="J51" s="892"/>
    </row>
    <row r="52" spans="1:14" ht="14.25" customHeight="1" x14ac:dyDescent="0.2">
      <c r="H52" s="892"/>
      <c r="I52" s="892"/>
      <c r="J52" s="892"/>
    </row>
    <row r="53" spans="1:14" ht="14.25" customHeight="1" x14ac:dyDescent="0.2">
      <c r="H53" s="892"/>
      <c r="I53" s="892"/>
      <c r="J53" s="892"/>
    </row>
    <row r="54" spans="1:14" ht="14.25" customHeight="1" x14ac:dyDescent="0.2">
      <c r="A54" s="720" t="s">
        <v>700</v>
      </c>
      <c r="B54" s="885">
        <f>B43</f>
        <v>1746.23</v>
      </c>
      <c r="C54" s="885">
        <f t="shared" ref="C54:N54" si="2">C44+C43</f>
        <v>1790.0138888888889</v>
      </c>
      <c r="D54" s="885">
        <f t="shared" si="2"/>
        <v>2061.63</v>
      </c>
      <c r="E54" s="885">
        <f t="shared" si="2"/>
        <v>2362.75</v>
      </c>
      <c r="F54" s="885">
        <f t="shared" si="2"/>
        <v>2596.14</v>
      </c>
      <c r="G54" s="885">
        <f t="shared" si="2"/>
        <v>2851.27</v>
      </c>
      <c r="H54" s="885">
        <f t="shared" si="2"/>
        <v>3998.15</v>
      </c>
      <c r="I54" s="885"/>
      <c r="J54" s="885">
        <f t="shared" si="2"/>
        <v>4641.7900000000009</v>
      </c>
      <c r="K54" s="885">
        <f t="shared" si="2"/>
        <v>5306.48</v>
      </c>
      <c r="L54" s="885">
        <f t="shared" si="2"/>
        <v>6020.7</v>
      </c>
      <c r="M54" s="885">
        <f t="shared" si="2"/>
        <v>6795.84</v>
      </c>
      <c r="N54" s="885">
        <f t="shared" si="2"/>
        <v>6753.85</v>
      </c>
    </row>
    <row r="55" spans="1:14" ht="14.25" customHeight="1" x14ac:dyDescent="0.2">
      <c r="J55" s="893"/>
    </row>
  </sheetData>
  <pageMargins left="0.5" right="0.5" top="1" bottom="1" header="0.5" footer="0.5"/>
  <pageSetup orientation="landscape" horizontalDpi="1200" verticalDpi="12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D22A9-109F-49B4-A482-F60A4A5548E0}">
  <dimension ref="A1:G31"/>
  <sheetViews>
    <sheetView showGridLines="0" zoomScale="80" zoomScaleNormal="80" workbookViewId="0">
      <selection activeCell="G3" sqref="G3"/>
    </sheetView>
  </sheetViews>
  <sheetFormatPr defaultRowHeight="12.75" x14ac:dyDescent="0.2"/>
  <cols>
    <col min="1" max="1" width="37.5703125" style="895" bestFit="1" customWidth="1"/>
    <col min="2" max="2" width="29" style="895" customWidth="1"/>
    <col min="3" max="3" width="11.42578125" style="895" customWidth="1"/>
    <col min="4" max="4" width="16.85546875" style="895" bestFit="1" customWidth="1"/>
    <col min="5" max="7" width="18.42578125" style="895" customWidth="1"/>
    <col min="8" max="16384" width="9.140625" style="895"/>
  </cols>
  <sheetData>
    <row r="1" spans="1:7" ht="15.75" x14ac:dyDescent="0.25">
      <c r="A1" s="894"/>
      <c r="C1" s="896"/>
      <c r="D1" s="897" t="s">
        <v>701</v>
      </c>
      <c r="E1" s="898"/>
      <c r="F1" s="898"/>
      <c r="G1" s="899"/>
    </row>
    <row r="2" spans="1:7" ht="15.75" x14ac:dyDescent="0.25">
      <c r="A2" s="900"/>
      <c r="C2" s="896"/>
      <c r="D2" s="897" t="s">
        <v>702</v>
      </c>
      <c r="E2" s="898"/>
      <c r="F2" s="898"/>
      <c r="G2" s="898"/>
    </row>
    <row r="3" spans="1:7" ht="15.75" x14ac:dyDescent="0.25">
      <c r="A3" s="896"/>
      <c r="C3" s="896"/>
      <c r="D3" s="897" t="s">
        <v>79</v>
      </c>
      <c r="E3" s="896"/>
      <c r="F3" s="896"/>
      <c r="G3" s="896"/>
    </row>
    <row r="4" spans="1:7" ht="15.75" x14ac:dyDescent="0.25">
      <c r="A4" s="896"/>
      <c r="C4" s="896"/>
      <c r="D4" s="897" t="s">
        <v>703</v>
      </c>
      <c r="E4" s="896"/>
      <c r="F4" s="896"/>
      <c r="G4" s="896"/>
    </row>
    <row r="5" spans="1:7" ht="15.75" x14ac:dyDescent="0.25">
      <c r="A5" s="901"/>
      <c r="B5" s="897"/>
      <c r="C5" s="896"/>
      <c r="D5" s="896"/>
      <c r="E5" s="896"/>
      <c r="F5" s="896"/>
      <c r="G5" s="896"/>
    </row>
    <row r="6" spans="1:7" ht="15.75" x14ac:dyDescent="0.25">
      <c r="A6" s="902"/>
      <c r="B6" s="903" t="s">
        <v>704</v>
      </c>
      <c r="C6" s="900"/>
      <c r="D6" s="900"/>
      <c r="E6" s="904"/>
      <c r="F6" s="905"/>
      <c r="G6" s="906" t="s">
        <v>154</v>
      </c>
    </row>
    <row r="7" spans="1:7" ht="15" x14ac:dyDescent="0.25">
      <c r="A7" s="907"/>
      <c r="B7" s="903" t="s">
        <v>705</v>
      </c>
      <c r="C7" s="903"/>
      <c r="D7" s="903" t="s">
        <v>706</v>
      </c>
      <c r="E7" s="908" t="s">
        <v>0</v>
      </c>
      <c r="F7" s="909" t="s">
        <v>0</v>
      </c>
      <c r="G7" s="910"/>
    </row>
    <row r="8" spans="1:7" ht="15" x14ac:dyDescent="0.2">
      <c r="A8" s="911"/>
      <c r="B8" s="912" t="s">
        <v>707</v>
      </c>
      <c r="C8" s="913" t="s">
        <v>76</v>
      </c>
      <c r="D8" s="914" t="s">
        <v>708</v>
      </c>
      <c r="E8" s="915" t="s">
        <v>709</v>
      </c>
      <c r="F8" s="916" t="s">
        <v>710</v>
      </c>
      <c r="G8" s="917"/>
    </row>
    <row r="9" spans="1:7" ht="15" x14ac:dyDescent="0.2">
      <c r="A9" s="898" t="s">
        <v>711</v>
      </c>
      <c r="B9" s="896">
        <v>4905902</v>
      </c>
      <c r="C9" s="918">
        <f t="shared" ref="C9:C21" si="0">$B$27</f>
        <v>6.1381437797919718</v>
      </c>
      <c r="D9" s="919">
        <f>ROUND($B9*$C9,0)</f>
        <v>30113132</v>
      </c>
      <c r="E9" s="920">
        <f>D9</f>
        <v>30113132</v>
      </c>
      <c r="F9" s="921">
        <f>D9</f>
        <v>30113132</v>
      </c>
      <c r="G9" s="922">
        <f t="shared" ref="G9:G21" si="1">F9+E9</f>
        <v>60226264</v>
      </c>
    </row>
    <row r="10" spans="1:7" ht="15" x14ac:dyDescent="0.2">
      <c r="A10" s="898" t="s">
        <v>712</v>
      </c>
      <c r="B10" s="896">
        <v>2292773</v>
      </c>
      <c r="C10" s="923">
        <f t="shared" si="0"/>
        <v>6.1381437797919718</v>
      </c>
      <c r="D10" s="924">
        <f t="shared" ref="D10:D21" si="2">ROUND($B10*$C10,0)</f>
        <v>14073370</v>
      </c>
      <c r="E10" s="925">
        <f t="shared" ref="E10:E21" si="3">D10</f>
        <v>14073370</v>
      </c>
      <c r="F10" s="926">
        <f t="shared" ref="F10:F21" si="4">D10</f>
        <v>14073370</v>
      </c>
      <c r="G10" s="927">
        <f t="shared" si="1"/>
        <v>28146740</v>
      </c>
    </row>
    <row r="11" spans="1:7" ht="15" x14ac:dyDescent="0.2">
      <c r="A11" s="898" t="s">
        <v>713</v>
      </c>
      <c r="B11" s="896">
        <v>3913638</v>
      </c>
      <c r="C11" s="923">
        <f t="shared" si="0"/>
        <v>6.1381437797919718</v>
      </c>
      <c r="D11" s="924">
        <f t="shared" si="2"/>
        <v>24022473</v>
      </c>
      <c r="E11" s="925">
        <f t="shared" si="3"/>
        <v>24022473</v>
      </c>
      <c r="F11" s="926">
        <f t="shared" si="4"/>
        <v>24022473</v>
      </c>
      <c r="G11" s="927">
        <f t="shared" si="1"/>
        <v>48044946</v>
      </c>
    </row>
    <row r="12" spans="1:7" ht="15" x14ac:dyDescent="0.2">
      <c r="A12" s="898" t="s">
        <v>714</v>
      </c>
      <c r="B12" s="896">
        <v>2531519</v>
      </c>
      <c r="C12" s="923">
        <f t="shared" si="0"/>
        <v>6.1381437797919718</v>
      </c>
      <c r="D12" s="924">
        <f t="shared" si="2"/>
        <v>15538828</v>
      </c>
      <c r="E12" s="925">
        <f t="shared" si="3"/>
        <v>15538828</v>
      </c>
      <c r="F12" s="926">
        <f t="shared" si="4"/>
        <v>15538828</v>
      </c>
      <c r="G12" s="927">
        <f t="shared" si="1"/>
        <v>31077656</v>
      </c>
    </row>
    <row r="13" spans="1:7" ht="15" x14ac:dyDescent="0.2">
      <c r="A13" s="898" t="s">
        <v>715</v>
      </c>
      <c r="B13" s="896">
        <v>5571499</v>
      </c>
      <c r="C13" s="923">
        <f t="shared" si="0"/>
        <v>6.1381437797919718</v>
      </c>
      <c r="D13" s="924">
        <f t="shared" si="2"/>
        <v>34198662</v>
      </c>
      <c r="E13" s="925">
        <f t="shared" si="3"/>
        <v>34198662</v>
      </c>
      <c r="F13" s="926">
        <f t="shared" si="4"/>
        <v>34198662</v>
      </c>
      <c r="G13" s="927">
        <f t="shared" si="1"/>
        <v>68397324</v>
      </c>
    </row>
    <row r="14" spans="1:7" ht="15" x14ac:dyDescent="0.2">
      <c r="A14" s="898" t="s">
        <v>716</v>
      </c>
      <c r="B14" s="896">
        <v>292561</v>
      </c>
      <c r="C14" s="923">
        <f t="shared" si="0"/>
        <v>6.1381437797919718</v>
      </c>
      <c r="D14" s="924">
        <f t="shared" si="2"/>
        <v>1795781</v>
      </c>
      <c r="E14" s="925">
        <f t="shared" si="3"/>
        <v>1795781</v>
      </c>
      <c r="F14" s="926">
        <f t="shared" si="4"/>
        <v>1795781</v>
      </c>
      <c r="G14" s="927">
        <f t="shared" si="1"/>
        <v>3591562</v>
      </c>
    </row>
    <row r="15" spans="1:7" ht="15" x14ac:dyDescent="0.2">
      <c r="A15" s="898" t="s">
        <v>7</v>
      </c>
      <c r="B15" s="896">
        <v>1904688</v>
      </c>
      <c r="C15" s="923">
        <f t="shared" si="0"/>
        <v>6.1381437797919718</v>
      </c>
      <c r="D15" s="928">
        <f t="shared" si="2"/>
        <v>11691249</v>
      </c>
      <c r="E15" s="929">
        <f t="shared" si="3"/>
        <v>11691249</v>
      </c>
      <c r="F15" s="930">
        <f t="shared" si="4"/>
        <v>11691249</v>
      </c>
      <c r="G15" s="927">
        <f t="shared" si="1"/>
        <v>23382498</v>
      </c>
    </row>
    <row r="16" spans="1:7" ht="15" x14ac:dyDescent="0.2">
      <c r="A16" s="898" t="s">
        <v>717</v>
      </c>
      <c r="B16" s="896">
        <v>721191</v>
      </c>
      <c r="C16" s="923">
        <f t="shared" si="0"/>
        <v>6.1381437797919718</v>
      </c>
      <c r="D16" s="928">
        <f t="shared" si="2"/>
        <v>4426774</v>
      </c>
      <c r="E16" s="929">
        <f t="shared" si="3"/>
        <v>4426774</v>
      </c>
      <c r="F16" s="930">
        <f t="shared" si="4"/>
        <v>4426774</v>
      </c>
      <c r="G16" s="927">
        <f t="shared" si="1"/>
        <v>8853548</v>
      </c>
    </row>
    <row r="17" spans="1:7" ht="15" x14ac:dyDescent="0.2">
      <c r="A17" s="898" t="s">
        <v>718</v>
      </c>
      <c r="B17" s="896">
        <v>1578792</v>
      </c>
      <c r="C17" s="923">
        <f t="shared" si="0"/>
        <v>6.1381437797919718</v>
      </c>
      <c r="D17" s="924">
        <f t="shared" si="2"/>
        <v>9690852</v>
      </c>
      <c r="E17" s="925">
        <f t="shared" si="3"/>
        <v>9690852</v>
      </c>
      <c r="F17" s="926">
        <f t="shared" si="4"/>
        <v>9690852</v>
      </c>
      <c r="G17" s="927">
        <f t="shared" si="1"/>
        <v>19381704</v>
      </c>
    </row>
    <row r="18" spans="1:7" ht="15" x14ac:dyDescent="0.2">
      <c r="A18" s="898" t="s">
        <v>719</v>
      </c>
      <c r="B18" s="896">
        <v>498512</v>
      </c>
      <c r="C18" s="923">
        <f t="shared" si="0"/>
        <v>6.1381437797919718</v>
      </c>
      <c r="D18" s="898">
        <f t="shared" si="2"/>
        <v>3059938</v>
      </c>
      <c r="E18" s="931">
        <f t="shared" si="3"/>
        <v>3059938</v>
      </c>
      <c r="F18" s="932">
        <f t="shared" si="4"/>
        <v>3059938</v>
      </c>
      <c r="G18" s="927">
        <f t="shared" si="1"/>
        <v>6119876</v>
      </c>
    </row>
    <row r="19" spans="1:7" ht="15" x14ac:dyDescent="0.2">
      <c r="A19" s="898" t="s">
        <v>65</v>
      </c>
      <c r="B19" s="896">
        <v>395915</v>
      </c>
      <c r="C19" s="923">
        <f t="shared" si="0"/>
        <v>6.1381437797919718</v>
      </c>
      <c r="D19" s="898">
        <f t="shared" si="2"/>
        <v>2430183</v>
      </c>
      <c r="E19" s="931">
        <f t="shared" si="3"/>
        <v>2430183</v>
      </c>
      <c r="F19" s="932">
        <f t="shared" si="4"/>
        <v>2430183</v>
      </c>
      <c r="G19" s="927">
        <f t="shared" si="1"/>
        <v>4860366</v>
      </c>
    </row>
    <row r="20" spans="1:7" ht="15" x14ac:dyDescent="0.2">
      <c r="A20" s="898" t="s">
        <v>64</v>
      </c>
      <c r="B20" s="896">
        <v>261579</v>
      </c>
      <c r="C20" s="923">
        <f t="shared" si="0"/>
        <v>6.1381437797919718</v>
      </c>
      <c r="D20" s="898">
        <f t="shared" si="2"/>
        <v>1605610</v>
      </c>
      <c r="E20" s="931">
        <f t="shared" si="3"/>
        <v>1605610</v>
      </c>
      <c r="F20" s="932">
        <f t="shared" si="4"/>
        <v>1605610</v>
      </c>
      <c r="G20" s="927">
        <f t="shared" si="1"/>
        <v>3211220</v>
      </c>
    </row>
    <row r="21" spans="1:7" ht="15" x14ac:dyDescent="0.2">
      <c r="A21" s="898" t="s">
        <v>745</v>
      </c>
      <c r="B21" s="896">
        <v>73488</v>
      </c>
      <c r="C21" s="923">
        <f t="shared" si="0"/>
        <v>6.1381437797919718</v>
      </c>
      <c r="D21" s="898">
        <f t="shared" si="2"/>
        <v>451080</v>
      </c>
      <c r="E21" s="931">
        <f t="shared" si="3"/>
        <v>451080</v>
      </c>
      <c r="F21" s="932">
        <f t="shared" si="4"/>
        <v>451080</v>
      </c>
      <c r="G21" s="927">
        <f t="shared" si="1"/>
        <v>902160</v>
      </c>
    </row>
    <row r="22" spans="1:7" ht="15" x14ac:dyDescent="0.2">
      <c r="A22" s="898"/>
      <c r="B22" s="896"/>
      <c r="C22" s="923"/>
      <c r="D22" s="898"/>
      <c r="E22" s="931"/>
      <c r="F22" s="932"/>
      <c r="G22" s="927"/>
    </row>
    <row r="23" spans="1:7" ht="15.75" x14ac:dyDescent="0.25">
      <c r="A23" s="933" t="s">
        <v>342</v>
      </c>
      <c r="B23" s="934">
        <f>SUM(B9:B22)</f>
        <v>24942057</v>
      </c>
      <c r="C23" s="896"/>
      <c r="D23" s="935">
        <f>SUM(D9:D22)</f>
        <v>153097932</v>
      </c>
      <c r="E23" s="936">
        <f>SUM(E9:E22)</f>
        <v>153097932</v>
      </c>
      <c r="F23" s="937">
        <f>SUM(F9:F22)</f>
        <v>153097932</v>
      </c>
      <c r="G23" s="938">
        <f>SUM(G9:G22)</f>
        <v>306195864</v>
      </c>
    </row>
    <row r="24" spans="1:7" ht="15" x14ac:dyDescent="0.2">
      <c r="A24" s="939" t="s">
        <v>720</v>
      </c>
      <c r="B24" s="940"/>
      <c r="C24" s="896"/>
      <c r="D24" s="896"/>
      <c r="E24" s="896"/>
      <c r="F24" s="896"/>
      <c r="G24" s="941"/>
    </row>
    <row r="25" spans="1:7" ht="15" x14ac:dyDescent="0.2">
      <c r="A25" s="898"/>
      <c r="B25" s="901"/>
      <c r="C25" s="896"/>
      <c r="D25" s="896"/>
      <c r="E25" s="896"/>
      <c r="F25" s="896"/>
      <c r="G25" s="896"/>
    </row>
    <row r="26" spans="1:7" ht="15" x14ac:dyDescent="0.2">
      <c r="A26" s="901"/>
      <c r="B26" s="901"/>
      <c r="C26" s="896"/>
      <c r="D26" s="896"/>
      <c r="E26" s="896"/>
      <c r="F26" s="896"/>
      <c r="G26" s="896"/>
    </row>
    <row r="27" spans="1:7" ht="15.75" x14ac:dyDescent="0.25">
      <c r="A27" s="901" t="s">
        <v>76</v>
      </c>
      <c r="B27" s="942">
        <v>6.1381437797919718</v>
      </c>
      <c r="C27" s="901"/>
      <c r="D27" s="896"/>
      <c r="E27" s="898"/>
      <c r="F27" s="896"/>
      <c r="G27" s="896"/>
    </row>
    <row r="28" spans="1:7" ht="15" x14ac:dyDescent="0.2">
      <c r="A28" s="898"/>
      <c r="B28" s="898"/>
      <c r="C28" s="896"/>
      <c r="D28" s="896"/>
      <c r="E28" s="896"/>
      <c r="F28" s="896"/>
      <c r="G28" s="896"/>
    </row>
    <row r="29" spans="1:7" ht="15" x14ac:dyDescent="0.2">
      <c r="A29" s="898"/>
      <c r="B29" s="898"/>
      <c r="C29" s="896"/>
      <c r="D29" s="896"/>
      <c r="E29" s="896"/>
      <c r="F29" s="896"/>
      <c r="G29" s="896"/>
    </row>
    <row r="30" spans="1:7" x14ac:dyDescent="0.2">
      <c r="G30" s="943"/>
    </row>
    <row r="31" spans="1:7" x14ac:dyDescent="0.2">
      <c r="B31" s="943"/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31422-F2DE-4751-8B52-3E619302B4AC}">
  <sheetPr>
    <tabColor theme="6" tint="0.39997558519241921"/>
  </sheetPr>
  <dimension ref="A1:K36"/>
  <sheetViews>
    <sheetView showGridLines="0" zoomScale="90" zoomScaleNormal="90" workbookViewId="0">
      <selection activeCell="G31" sqref="G31"/>
    </sheetView>
  </sheetViews>
  <sheetFormatPr defaultRowHeight="12.75" x14ac:dyDescent="0.2"/>
  <cols>
    <col min="1" max="1" width="37.5703125" style="944" customWidth="1"/>
    <col min="2" max="2" width="16.140625" style="944" customWidth="1"/>
    <col min="3" max="4" width="16.5703125" style="944" customWidth="1"/>
    <col min="5" max="5" width="14.28515625" style="944" customWidth="1"/>
    <col min="6" max="6" width="13.7109375" style="944" customWidth="1"/>
    <col min="7" max="7" width="13.85546875" style="944" customWidth="1"/>
    <col min="8" max="8" width="14.5703125" style="944" customWidth="1"/>
    <col min="9" max="9" width="15.7109375" style="944" customWidth="1"/>
    <col min="10" max="10" width="14.85546875" style="944" customWidth="1"/>
    <col min="11" max="11" width="17.7109375" style="944" customWidth="1"/>
    <col min="12" max="16384" width="9.140625" style="944"/>
  </cols>
  <sheetData>
    <row r="1" spans="1:11" ht="19.5" customHeight="1" x14ac:dyDescent="0.35">
      <c r="B1" s="945"/>
      <c r="C1" s="945"/>
      <c r="D1" s="946" t="s">
        <v>9</v>
      </c>
      <c r="E1" s="947"/>
      <c r="F1" s="947"/>
      <c r="H1" s="948"/>
      <c r="I1" s="949"/>
    </row>
    <row r="2" spans="1:11" ht="14.25" customHeight="1" x14ac:dyDescent="0.35">
      <c r="A2" s="950"/>
      <c r="B2" s="945"/>
      <c r="C2" s="945"/>
      <c r="D2" s="946" t="s">
        <v>721</v>
      </c>
      <c r="E2" s="947"/>
      <c r="F2" s="947"/>
      <c r="H2" s="949"/>
      <c r="I2" s="949"/>
    </row>
    <row r="3" spans="1:11" ht="15.75" customHeight="1" x14ac:dyDescent="0.35">
      <c r="A3" s="950"/>
      <c r="B3" s="947"/>
      <c r="C3" s="947"/>
      <c r="D3" s="946" t="s">
        <v>87</v>
      </c>
      <c r="E3" s="947"/>
      <c r="F3" s="947"/>
      <c r="G3" s="947"/>
      <c r="H3" s="947"/>
      <c r="I3" s="947"/>
    </row>
    <row r="4" spans="1:11" ht="14.25" customHeight="1" x14ac:dyDescent="0.25">
      <c r="A4" s="951"/>
      <c r="B4" s="952"/>
      <c r="D4" s="953" t="s">
        <v>703</v>
      </c>
      <c r="G4" s="954"/>
      <c r="K4" s="955" t="s">
        <v>722</v>
      </c>
    </row>
    <row r="5" spans="1:11" s="956" customFormat="1" ht="19.5" customHeight="1" x14ac:dyDescent="0.2">
      <c r="B5" s="952"/>
      <c r="C5" s="944"/>
      <c r="D5" s="957"/>
      <c r="E5" s="957"/>
      <c r="K5" s="958">
        <v>1412500</v>
      </c>
    </row>
    <row r="6" spans="1:11" ht="52.5" customHeight="1" x14ac:dyDescent="0.2">
      <c r="B6" s="959" t="s">
        <v>723</v>
      </c>
      <c r="C6" s="960" t="s">
        <v>724</v>
      </c>
      <c r="D6" s="960" t="s">
        <v>725</v>
      </c>
      <c r="E6" s="960"/>
      <c r="F6" s="960" t="s">
        <v>726</v>
      </c>
      <c r="G6" s="961" t="s">
        <v>163</v>
      </c>
      <c r="H6" s="961" t="s">
        <v>164</v>
      </c>
      <c r="I6" s="962" t="s">
        <v>727</v>
      </c>
    </row>
    <row r="7" spans="1:11" x14ac:dyDescent="0.2">
      <c r="A7" s="963" t="s">
        <v>711</v>
      </c>
      <c r="B7" s="964">
        <v>524109323</v>
      </c>
      <c r="C7" s="965">
        <f t="shared" ref="C7:C19" si="0">B7/B$21</f>
        <v>0.20450222258297804</v>
      </c>
      <c r="D7" s="966">
        <f t="shared" ref="D7:D19" si="1">ROUND(C7*B$28,0)</f>
        <v>6117169</v>
      </c>
      <c r="E7" s="966"/>
      <c r="F7" s="966">
        <f t="shared" ref="F7:F19" si="2">$K$5</f>
        <v>1412500</v>
      </c>
      <c r="G7" s="966">
        <f t="shared" ref="G7:G19" si="3">D7+F7+E7</f>
        <v>7529669</v>
      </c>
      <c r="H7" s="966">
        <f t="shared" ref="H7:H19" si="4">G7</f>
        <v>7529669</v>
      </c>
      <c r="I7" s="967">
        <f t="shared" ref="I7:I19" si="5">SUM(G7:H7)</f>
        <v>15059338</v>
      </c>
    </row>
    <row r="8" spans="1:11" x14ac:dyDescent="0.2">
      <c r="A8" s="963" t="s">
        <v>712</v>
      </c>
      <c r="B8" s="964">
        <v>152611603</v>
      </c>
      <c r="C8" s="965">
        <f t="shared" si="0"/>
        <v>5.9547523075545596E-2</v>
      </c>
      <c r="D8" s="968">
        <f t="shared" si="1"/>
        <v>1781214</v>
      </c>
      <c r="E8" s="968"/>
      <c r="F8" s="968">
        <f t="shared" si="2"/>
        <v>1412500</v>
      </c>
      <c r="G8" s="968">
        <f t="shared" si="3"/>
        <v>3193714</v>
      </c>
      <c r="H8" s="968">
        <f t="shared" si="4"/>
        <v>3193714</v>
      </c>
      <c r="I8" s="969">
        <f t="shared" si="5"/>
        <v>6387428</v>
      </c>
    </row>
    <row r="9" spans="1:11" x14ac:dyDescent="0.2">
      <c r="A9" s="963" t="s">
        <v>713</v>
      </c>
      <c r="B9" s="964">
        <v>253142796</v>
      </c>
      <c r="C9" s="965">
        <f t="shared" si="0"/>
        <v>9.8773790392714306E-2</v>
      </c>
      <c r="D9" s="968">
        <f t="shared" si="1"/>
        <v>2954569</v>
      </c>
      <c r="E9" s="968"/>
      <c r="F9" s="968">
        <f t="shared" si="2"/>
        <v>1412500</v>
      </c>
      <c r="G9" s="968">
        <f t="shared" si="3"/>
        <v>4367069</v>
      </c>
      <c r="H9" s="968">
        <f t="shared" si="4"/>
        <v>4367069</v>
      </c>
      <c r="I9" s="969">
        <f t="shared" si="5"/>
        <v>8734138</v>
      </c>
    </row>
    <row r="10" spans="1:11" ht="13.5" customHeight="1" x14ac:dyDescent="0.2">
      <c r="A10" s="963" t="s">
        <v>714</v>
      </c>
      <c r="B10" s="964">
        <v>195215120</v>
      </c>
      <c r="C10" s="965">
        <f t="shared" si="0"/>
        <v>7.6170989848625081E-2</v>
      </c>
      <c r="D10" s="968">
        <f t="shared" si="1"/>
        <v>2278464</v>
      </c>
      <c r="E10" s="968"/>
      <c r="F10" s="968">
        <f t="shared" si="2"/>
        <v>1412500</v>
      </c>
      <c r="G10" s="968">
        <f t="shared" si="3"/>
        <v>3690964</v>
      </c>
      <c r="H10" s="968">
        <f t="shared" si="4"/>
        <v>3690964</v>
      </c>
      <c r="I10" s="969">
        <f t="shared" si="5"/>
        <v>7381928</v>
      </c>
    </row>
    <row r="11" spans="1:11" x14ac:dyDescent="0.2">
      <c r="A11" s="963" t="s">
        <v>715</v>
      </c>
      <c r="B11" s="964">
        <v>967676566</v>
      </c>
      <c r="C11" s="965">
        <f t="shared" si="0"/>
        <v>0.37757773007305162</v>
      </c>
      <c r="D11" s="968">
        <f t="shared" si="1"/>
        <v>11294288</v>
      </c>
      <c r="E11" s="968"/>
      <c r="F11" s="968">
        <f t="shared" si="2"/>
        <v>1412500</v>
      </c>
      <c r="G11" s="968">
        <f t="shared" si="3"/>
        <v>12706788</v>
      </c>
      <c r="H11" s="968">
        <f t="shared" si="4"/>
        <v>12706788</v>
      </c>
      <c r="I11" s="969">
        <f t="shared" si="5"/>
        <v>25413576</v>
      </c>
    </row>
    <row r="12" spans="1:11" x14ac:dyDescent="0.2">
      <c r="A12" s="963" t="s">
        <v>716</v>
      </c>
      <c r="B12" s="964">
        <v>21264915</v>
      </c>
      <c r="C12" s="965">
        <f t="shared" si="0"/>
        <v>8.297357420864097E-3</v>
      </c>
      <c r="D12" s="968">
        <f t="shared" si="1"/>
        <v>248195</v>
      </c>
      <c r="E12" s="968"/>
      <c r="F12" s="968">
        <f t="shared" si="2"/>
        <v>1412500</v>
      </c>
      <c r="G12" s="968">
        <f t="shared" si="3"/>
        <v>1660695</v>
      </c>
      <c r="H12" s="968">
        <f t="shared" si="4"/>
        <v>1660695</v>
      </c>
      <c r="I12" s="969">
        <f t="shared" si="5"/>
        <v>3321390</v>
      </c>
    </row>
    <row r="13" spans="1:11" x14ac:dyDescent="0.2">
      <c r="A13" s="963" t="s">
        <v>7</v>
      </c>
      <c r="B13" s="964">
        <v>290798235</v>
      </c>
      <c r="C13" s="965">
        <f t="shared" si="0"/>
        <v>0.11346656655582361</v>
      </c>
      <c r="D13" s="968">
        <f t="shared" si="1"/>
        <v>3394067</v>
      </c>
      <c r="E13" s="968"/>
      <c r="F13" s="968">
        <f t="shared" si="2"/>
        <v>1412500</v>
      </c>
      <c r="G13" s="968">
        <f t="shared" si="3"/>
        <v>4806567</v>
      </c>
      <c r="H13" s="968">
        <f t="shared" si="4"/>
        <v>4806567</v>
      </c>
      <c r="I13" s="969">
        <f t="shared" si="5"/>
        <v>9613134</v>
      </c>
      <c r="K13" s="970"/>
    </row>
    <row r="14" spans="1:11" x14ac:dyDescent="0.2">
      <c r="A14" s="963" t="s">
        <v>717</v>
      </c>
      <c r="B14" s="964">
        <v>45170308</v>
      </c>
      <c r="C14" s="965">
        <f t="shared" si="0"/>
        <v>1.7625002981978385E-2</v>
      </c>
      <c r="D14" s="968">
        <f t="shared" si="1"/>
        <v>527208</v>
      </c>
      <c r="E14" s="968"/>
      <c r="F14" s="968">
        <f t="shared" si="2"/>
        <v>1412500</v>
      </c>
      <c r="G14" s="968">
        <f t="shared" si="3"/>
        <v>1939708</v>
      </c>
      <c r="H14" s="968">
        <f t="shared" si="4"/>
        <v>1939708</v>
      </c>
      <c r="I14" s="969">
        <f t="shared" si="5"/>
        <v>3879416</v>
      </c>
    </row>
    <row r="15" spans="1:11" x14ac:dyDescent="0.2">
      <c r="A15" s="963" t="s">
        <v>718</v>
      </c>
      <c r="B15" s="964">
        <v>44091705</v>
      </c>
      <c r="C15" s="965">
        <f t="shared" si="0"/>
        <v>1.7204142865386515E-2</v>
      </c>
      <c r="D15" s="968">
        <f t="shared" si="1"/>
        <v>514619</v>
      </c>
      <c r="E15" s="968"/>
      <c r="F15" s="968">
        <f t="shared" si="2"/>
        <v>1412500</v>
      </c>
      <c r="G15" s="968">
        <f t="shared" si="3"/>
        <v>1927119</v>
      </c>
      <c r="H15" s="968">
        <f t="shared" si="4"/>
        <v>1927119</v>
      </c>
      <c r="I15" s="969">
        <f t="shared" si="5"/>
        <v>3854238</v>
      </c>
    </row>
    <row r="16" spans="1:11" ht="13.5" customHeight="1" x14ac:dyDescent="0.2">
      <c r="A16" s="963" t="s">
        <v>719</v>
      </c>
      <c r="B16" s="964">
        <v>10246673</v>
      </c>
      <c r="C16" s="965">
        <f t="shared" si="0"/>
        <v>3.998149452077179E-3</v>
      </c>
      <c r="D16" s="968">
        <f t="shared" si="1"/>
        <v>119595</v>
      </c>
      <c r="E16" s="968"/>
      <c r="F16" s="968">
        <f t="shared" si="2"/>
        <v>1412500</v>
      </c>
      <c r="G16" s="968">
        <f t="shared" si="3"/>
        <v>1532095</v>
      </c>
      <c r="H16" s="968">
        <f t="shared" si="4"/>
        <v>1532095</v>
      </c>
      <c r="I16" s="969">
        <f t="shared" si="5"/>
        <v>3064190</v>
      </c>
    </row>
    <row r="17" spans="1:11" x14ac:dyDescent="0.2">
      <c r="A17" s="963" t="s">
        <v>65</v>
      </c>
      <c r="B17" s="964">
        <v>35698490</v>
      </c>
      <c r="C17" s="965">
        <f t="shared" si="0"/>
        <v>1.3929194210987572E-2</v>
      </c>
      <c r="D17" s="968">
        <f t="shared" si="1"/>
        <v>416657</v>
      </c>
      <c r="E17" s="968"/>
      <c r="F17" s="968">
        <f t="shared" si="2"/>
        <v>1412500</v>
      </c>
      <c r="G17" s="968">
        <f t="shared" si="3"/>
        <v>1829157</v>
      </c>
      <c r="H17" s="968">
        <f t="shared" si="4"/>
        <v>1829157</v>
      </c>
      <c r="I17" s="969">
        <f t="shared" si="5"/>
        <v>3658314</v>
      </c>
    </row>
    <row r="18" spans="1:11" x14ac:dyDescent="0.2">
      <c r="A18" s="963" t="s">
        <v>64</v>
      </c>
      <c r="B18" s="964">
        <v>22605280</v>
      </c>
      <c r="C18" s="965">
        <f t="shared" si="0"/>
        <v>8.8203544551535128E-3</v>
      </c>
      <c r="D18" s="968">
        <f t="shared" si="1"/>
        <v>263839</v>
      </c>
      <c r="E18" s="968"/>
      <c r="F18" s="968">
        <f t="shared" si="2"/>
        <v>1412500</v>
      </c>
      <c r="G18" s="968">
        <f t="shared" si="3"/>
        <v>1676339</v>
      </c>
      <c r="H18" s="968">
        <f t="shared" si="4"/>
        <v>1676339</v>
      </c>
      <c r="I18" s="969">
        <f t="shared" si="5"/>
        <v>3352678</v>
      </c>
    </row>
    <row r="19" spans="1:11" ht="13.5" customHeight="1" x14ac:dyDescent="0.2">
      <c r="A19" s="963" t="s">
        <v>745</v>
      </c>
      <c r="B19" s="964">
        <v>222907</v>
      </c>
      <c r="C19" s="965">
        <f t="shared" si="0"/>
        <v>8.6976084814472735E-5</v>
      </c>
      <c r="D19" s="968">
        <f t="shared" si="1"/>
        <v>2602</v>
      </c>
      <c r="E19" s="968"/>
      <c r="F19" s="968">
        <f t="shared" si="2"/>
        <v>1412500</v>
      </c>
      <c r="G19" s="968">
        <f t="shared" si="3"/>
        <v>1415102</v>
      </c>
      <c r="H19" s="968">
        <f t="shared" si="4"/>
        <v>1415102</v>
      </c>
      <c r="I19" s="969">
        <f t="shared" si="5"/>
        <v>2830204</v>
      </c>
    </row>
    <row r="20" spans="1:11" x14ac:dyDescent="0.2">
      <c r="A20" s="963"/>
      <c r="B20" s="971"/>
      <c r="C20" s="965"/>
      <c r="D20" s="968"/>
      <c r="E20" s="972"/>
      <c r="F20" s="968"/>
      <c r="G20" s="968"/>
      <c r="H20" s="968"/>
      <c r="I20" s="969"/>
    </row>
    <row r="21" spans="1:11" ht="16.5" customHeight="1" x14ac:dyDescent="0.2">
      <c r="A21" s="944" t="s">
        <v>0</v>
      </c>
      <c r="B21" s="973">
        <f>SUM(B7:B20)</f>
        <v>2562853921</v>
      </c>
      <c r="C21" s="974">
        <f>SUM(C7:C20)</f>
        <v>1.0000000000000002</v>
      </c>
      <c r="D21" s="975">
        <f>SUM(D7:D20)</f>
        <v>29912486</v>
      </c>
      <c r="E21" s="976"/>
      <c r="F21" s="975">
        <f>SUM(F7:F20)</f>
        <v>18362500</v>
      </c>
      <c r="G21" s="975">
        <f>SUM(G7:G20)</f>
        <v>48274986</v>
      </c>
      <c r="H21" s="975">
        <f>SUM(H7:H20)</f>
        <v>48274986</v>
      </c>
      <c r="I21" s="977">
        <f>SUM(I7:I20)</f>
        <v>96549972</v>
      </c>
    </row>
    <row r="22" spans="1:11" ht="15" customHeight="1" x14ac:dyDescent="0.2">
      <c r="A22" s="978" t="s">
        <v>728</v>
      </c>
      <c r="B22" s="968"/>
      <c r="C22" s="979"/>
      <c r="D22" s="979"/>
      <c r="E22" s="979"/>
      <c r="F22" s="979"/>
      <c r="G22" s="979"/>
      <c r="H22" s="980"/>
      <c r="I22" s="981"/>
    </row>
    <row r="23" spans="1:11" x14ac:dyDescent="0.2">
      <c r="A23" s="982" t="s">
        <v>729</v>
      </c>
      <c r="B23" s="983">
        <f>ROUND((C23*B21),0)</f>
        <v>29912484</v>
      </c>
      <c r="C23" s="984">
        <v>1.167155243470569E-2</v>
      </c>
      <c r="E23" s="985"/>
      <c r="G23" s="979"/>
      <c r="H23" s="968"/>
      <c r="I23" s="968"/>
    </row>
    <row r="24" spans="1:11" x14ac:dyDescent="0.2">
      <c r="A24" s="944" t="s">
        <v>730</v>
      </c>
      <c r="B24" s="986"/>
      <c r="C24" s="987">
        <f>C23</f>
        <v>1.167155243470569E-2</v>
      </c>
      <c r="E24" s="985"/>
      <c r="F24" s="968"/>
      <c r="G24" s="979"/>
      <c r="H24" s="988"/>
      <c r="I24" s="968"/>
    </row>
    <row r="25" spans="1:11" x14ac:dyDescent="0.2">
      <c r="B25" s="986"/>
      <c r="C25" s="987"/>
      <c r="E25" s="985"/>
      <c r="G25" s="979"/>
      <c r="H25" s="968"/>
      <c r="I25" s="968"/>
    </row>
    <row r="26" spans="1:11" ht="13.5" customHeight="1" x14ac:dyDescent="0.2">
      <c r="A26" s="951"/>
      <c r="B26" s="971">
        <f>ROUND((C26*B21),0)</f>
        <v>0</v>
      </c>
      <c r="C26" s="989"/>
      <c r="E26" s="985"/>
      <c r="F26" s="944" t="s">
        <v>731</v>
      </c>
      <c r="G26" s="966"/>
      <c r="H26" s="968"/>
      <c r="I26" s="979"/>
      <c r="K26" s="951"/>
    </row>
    <row r="27" spans="1:11" ht="12.75" customHeight="1" x14ac:dyDescent="0.2">
      <c r="A27" s="990"/>
      <c r="B27" s="991"/>
      <c r="C27" s="992">
        <f>C26</f>
        <v>0</v>
      </c>
      <c r="E27" s="985"/>
      <c r="G27" s="979"/>
      <c r="H27" s="979"/>
      <c r="I27" s="966"/>
    </row>
    <row r="28" spans="1:11" ht="12.75" customHeight="1" x14ac:dyDescent="0.2">
      <c r="A28" s="951" t="s">
        <v>732</v>
      </c>
      <c r="B28" s="983">
        <f>SUM(B23:B27)</f>
        <v>29912484</v>
      </c>
      <c r="C28" s="993">
        <f>C26+C24</f>
        <v>1.167155243470569E-2</v>
      </c>
      <c r="D28" s="944" t="s">
        <v>733</v>
      </c>
      <c r="E28" s="985"/>
      <c r="G28" s="979"/>
      <c r="H28" s="979"/>
      <c r="I28" s="979"/>
    </row>
    <row r="30" spans="1:11" ht="13.5" customHeight="1" x14ac:dyDescent="0.2"/>
    <row r="31" spans="1:11" ht="12.75" customHeight="1" x14ac:dyDescent="0.2"/>
    <row r="32" spans="1:11" ht="12.75" customHeight="1" x14ac:dyDescent="0.2">
      <c r="A32" s="944" t="s">
        <v>734</v>
      </c>
    </row>
    <row r="33" ht="12.75" customHeight="1" x14ac:dyDescent="0.2"/>
    <row r="34" ht="12.75" customHeight="1" x14ac:dyDescent="0.2"/>
    <row r="35" ht="12.75" customHeight="1" x14ac:dyDescent="0.2"/>
    <row r="36" ht="13.5" customHeight="1" x14ac:dyDescent="0.2"/>
  </sheetData>
  <pageMargins left="0.25" right="0.25" top="0.5" bottom="0.25" header="0.5" footer="0.5"/>
  <pageSetup scale="92" orientation="landscape" horizontalDpi="1200" verticalDpi="1200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LBB FY 22-23</vt:lpstr>
      <vt:lpstr>I&amp;O Summary</vt:lpstr>
      <vt:lpstr>I&amp;O Calc</vt:lpstr>
      <vt:lpstr>Weights</vt:lpstr>
      <vt:lpstr>Link Data</vt:lpstr>
      <vt:lpstr>Source Data</vt:lpstr>
      <vt:lpstr>I&amp;O Historical</vt:lpstr>
      <vt:lpstr>Infrastructure</vt:lpstr>
      <vt:lpstr>Research</vt:lpstr>
      <vt:lpstr>GME</vt:lpstr>
      <vt:lpstr>AllWeights</vt:lpstr>
      <vt:lpstr>ClassSize</vt:lpstr>
      <vt:lpstr>'I&amp;O Calc'!Print_Area</vt:lpstr>
      <vt:lpstr>'I&amp;O Summary'!Print_Area</vt:lpstr>
      <vt:lpstr>'LBB FY 22-23'!Print_Area</vt:lpstr>
      <vt:lpstr>Research!Print_Area</vt:lpstr>
      <vt:lpstr>'I&amp;O Calc'!Print_Titles</vt:lpstr>
      <vt:lpstr>'I&amp;O Summary'!weights</vt:lpstr>
      <vt:lpstr>weights</vt:lpstr>
    </vt:vector>
  </TitlesOfParts>
  <Company>THECB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 Advisory Committee - HRI Additional Materials August 2021 Workbook 1</dc:title>
  <dc:subject>HRI FY 22-23 Formula Workbooks</dc:subject>
  <dc:creator>Strategic Planning and Funding</dc:creator>
  <cp:keywords>Formula Funding, Formula Advisory Committee, HRIFAC</cp:keywords>
  <cp:lastModifiedBy>kingcd</cp:lastModifiedBy>
  <cp:lastPrinted>2017-11-16T16:32:55Z</cp:lastPrinted>
  <dcterms:created xsi:type="dcterms:W3CDTF">2004-11-10T19:51:03Z</dcterms:created>
  <dcterms:modified xsi:type="dcterms:W3CDTF">2021-08-19T17:41:20Z</dcterms:modified>
</cp:coreProperties>
</file>